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&amp; Finance\FY 2019\Sept &amp; Oct 2018\"/>
    </mc:Choice>
  </mc:AlternateContent>
  <bookViews>
    <workbookView xWindow="0" yWindow="0" windowWidth="19200" windowHeight="10656"/>
  </bookViews>
  <sheets>
    <sheet name="Dashboard" sheetId="1" r:id="rId1"/>
    <sheet name="Total" sheetId="3" r:id="rId2"/>
    <sheet name="Programs" sheetId="17" r:id="rId3"/>
    <sheet name="Admin &amp; Resale" sheetId="2" r:id="rId4"/>
    <sheet name="Balance Sheet" sheetId="13" r:id="rId5"/>
    <sheet name="Cash Flow" sheetId="14" r:id="rId6"/>
    <sheet name="Fund Balance" sheetId="15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D5" i="1" l="1"/>
  <c r="I23" i="13" l="1"/>
  <c r="K17" i="13"/>
  <c r="G23" i="13"/>
  <c r="U13" i="17"/>
  <c r="I15" i="17"/>
  <c r="U15" i="3"/>
  <c r="H15" i="17"/>
  <c r="G15" i="17"/>
  <c r="F21" i="3"/>
  <c r="R21" i="3" s="1"/>
  <c r="R38" i="3"/>
  <c r="U10" i="2" l="1"/>
  <c r="R33" i="2"/>
  <c r="R31" i="2"/>
  <c r="U31" i="2" s="1"/>
  <c r="R16" i="2"/>
  <c r="U16" i="2" s="1"/>
  <c r="R13" i="17"/>
  <c r="R15" i="3"/>
  <c r="N31" i="15" l="1"/>
  <c r="N27" i="15"/>
  <c r="M29" i="15"/>
  <c r="L31" i="15" l="1"/>
  <c r="B24" i="15"/>
  <c r="B29" i="15" s="1"/>
  <c r="Q36" i="2" l="1"/>
  <c r="R15" i="2" l="1"/>
  <c r="P36" i="2"/>
  <c r="K10" i="13" l="1"/>
  <c r="R13" i="2" l="1"/>
  <c r="O36" i="2"/>
  <c r="K28" i="13"/>
  <c r="N36" i="2"/>
  <c r="T36" i="2" l="1"/>
  <c r="R10" i="2"/>
  <c r="M36" i="2"/>
  <c r="L36" i="2" l="1"/>
  <c r="K19" i="15" l="1"/>
  <c r="L20" i="15"/>
  <c r="L19" i="15"/>
  <c r="N19" i="15" s="1"/>
  <c r="R28" i="17"/>
  <c r="R31" i="17"/>
  <c r="J15" i="17"/>
  <c r="R16" i="3"/>
  <c r="R34" i="17"/>
  <c r="R33" i="17"/>
  <c r="R32" i="17"/>
  <c r="R30" i="17"/>
  <c r="R29" i="17"/>
  <c r="R27" i="17"/>
  <c r="R26" i="17"/>
  <c r="R25" i="17"/>
  <c r="R24" i="17"/>
  <c r="R23" i="17"/>
  <c r="R22" i="17"/>
  <c r="R21" i="17"/>
  <c r="R20" i="17"/>
  <c r="R19" i="17"/>
  <c r="R18" i="17"/>
  <c r="R14" i="17"/>
  <c r="R12" i="17"/>
  <c r="R11" i="17"/>
  <c r="R10" i="17"/>
  <c r="R9" i="17"/>
  <c r="R8" i="17"/>
  <c r="R36" i="17" l="1"/>
  <c r="R15" i="17"/>
  <c r="F19" i="15"/>
  <c r="F21" i="15"/>
  <c r="F22" i="15"/>
  <c r="F23" i="15"/>
  <c r="F24" i="15"/>
  <c r="F25" i="15"/>
  <c r="F26" i="15"/>
  <c r="F28" i="15"/>
  <c r="C29" i="15"/>
  <c r="D29" i="15"/>
  <c r="E29" i="15"/>
  <c r="F29" i="15" s="1"/>
  <c r="L28" i="15"/>
  <c r="N28" i="15" s="1"/>
  <c r="L26" i="15"/>
  <c r="N26" i="15" s="1"/>
  <c r="L25" i="15"/>
  <c r="N25" i="15" s="1"/>
  <c r="L24" i="15"/>
  <c r="N24" i="15" s="1"/>
  <c r="L23" i="15"/>
  <c r="N23" i="15" s="1"/>
  <c r="L22" i="15"/>
  <c r="N22" i="15" s="1"/>
  <c r="L21" i="15"/>
  <c r="N21" i="15" l="1"/>
  <c r="N29" i="15" s="1"/>
  <c r="K29" i="15"/>
  <c r="L29" i="15" s="1"/>
  <c r="T15" i="17"/>
  <c r="Q15" i="17"/>
  <c r="P15" i="17"/>
  <c r="O15" i="17"/>
  <c r="Q18" i="3" l="1"/>
  <c r="P18" i="3"/>
  <c r="O18" i="3"/>
  <c r="R7" i="2" l="1"/>
  <c r="G46" i="14" l="1"/>
  <c r="G41" i="14"/>
  <c r="G33" i="14"/>
  <c r="R6" i="2"/>
  <c r="R8" i="2"/>
  <c r="R9" i="2"/>
  <c r="R11" i="2"/>
  <c r="R35" i="3"/>
  <c r="T18" i="3"/>
  <c r="Q42" i="3"/>
  <c r="G48" i="14" l="1"/>
  <c r="G50" i="14" s="1"/>
  <c r="I29" i="15"/>
  <c r="T36" i="17" l="1"/>
  <c r="G47" i="13"/>
  <c r="H41" i="14"/>
  <c r="K20" i="13"/>
  <c r="K19" i="13"/>
  <c r="K18" i="13"/>
  <c r="H46" i="14"/>
  <c r="I37" i="13"/>
  <c r="K36" i="13"/>
  <c r="K29" i="13"/>
  <c r="G37" i="13"/>
  <c r="G16" i="13"/>
  <c r="K9" i="13"/>
  <c r="K13" i="13"/>
  <c r="H33" i="14" l="1"/>
  <c r="H48" i="14" s="1"/>
  <c r="H50" i="14" l="1"/>
  <c r="G19" i="15" l="1"/>
  <c r="G29" i="15" s="1"/>
  <c r="B9" i="15"/>
  <c r="B11" i="15" s="1"/>
  <c r="B13" i="15" s="1"/>
  <c r="B15" i="15" s="1"/>
  <c r="R34" i="2"/>
  <c r="U34" i="2" s="1"/>
  <c r="R25" i="2"/>
  <c r="U25" i="2" s="1"/>
  <c r="R9" i="3"/>
  <c r="U9" i="3" s="1"/>
  <c r="F33" i="14"/>
  <c r="F48" i="14" s="1"/>
  <c r="F50" i="14" s="1"/>
  <c r="K21" i="13"/>
  <c r="K46" i="13"/>
  <c r="K45" i="13"/>
  <c r="K44" i="13"/>
  <c r="K43" i="13"/>
  <c r="K40" i="13"/>
  <c r="K32" i="13"/>
  <c r="K31" i="13"/>
  <c r="K30" i="13"/>
  <c r="K27" i="13"/>
  <c r="I47" i="13"/>
  <c r="I33" i="13"/>
  <c r="I41" i="13" s="1"/>
  <c r="K15" i="13"/>
  <c r="K14" i="13"/>
  <c r="K12" i="13"/>
  <c r="K11" i="13"/>
  <c r="K8" i="13"/>
  <c r="K7" i="13"/>
  <c r="K6" i="13"/>
  <c r="K5" i="13"/>
  <c r="I16" i="13"/>
  <c r="I24" i="13" s="1"/>
  <c r="K24" i="13" s="1"/>
  <c r="G33" i="13"/>
  <c r="G41" i="13" s="1"/>
  <c r="R35" i="2"/>
  <c r="R32" i="2"/>
  <c r="U32" i="2" s="1"/>
  <c r="R30" i="2"/>
  <c r="U30" i="2" s="1"/>
  <c r="R29" i="2"/>
  <c r="U29" i="2" s="1"/>
  <c r="R28" i="2"/>
  <c r="U28" i="2" s="1"/>
  <c r="R27" i="2"/>
  <c r="U27" i="2" s="1"/>
  <c r="R26" i="2"/>
  <c r="U26" i="2" s="1"/>
  <c r="R24" i="2"/>
  <c r="U24" i="2" s="1"/>
  <c r="R23" i="2"/>
  <c r="U23" i="2" s="1"/>
  <c r="R22" i="2"/>
  <c r="U22" i="2" s="1"/>
  <c r="R21" i="2"/>
  <c r="U21" i="2" s="1"/>
  <c r="R20" i="2"/>
  <c r="U20" i="2" s="1"/>
  <c r="R19" i="2"/>
  <c r="U19" i="2" s="1"/>
  <c r="R18" i="2"/>
  <c r="U18" i="2" s="1"/>
  <c r="R17" i="2"/>
  <c r="U15" i="2"/>
  <c r="U11" i="2"/>
  <c r="U9" i="2"/>
  <c r="U7" i="2"/>
  <c r="U6" i="2"/>
  <c r="N12" i="2"/>
  <c r="U34" i="17"/>
  <c r="U33" i="17"/>
  <c r="U32" i="17"/>
  <c r="U30" i="17"/>
  <c r="U29" i="17"/>
  <c r="U27" i="17"/>
  <c r="U25" i="17"/>
  <c r="U24" i="17"/>
  <c r="U23" i="17"/>
  <c r="U22" i="17"/>
  <c r="U21" i="17"/>
  <c r="U20" i="17"/>
  <c r="U19" i="17"/>
  <c r="U18" i="17"/>
  <c r="N15" i="17"/>
  <c r="M15" i="17"/>
  <c r="L15" i="17"/>
  <c r="U12" i="17"/>
  <c r="U11" i="17"/>
  <c r="U10" i="17"/>
  <c r="U9" i="17"/>
  <c r="R41" i="3"/>
  <c r="U41" i="3" s="1"/>
  <c r="R40" i="3"/>
  <c r="U40" i="3" s="1"/>
  <c r="R39" i="3"/>
  <c r="U39" i="3" s="1"/>
  <c r="U38" i="3"/>
  <c r="R37" i="3"/>
  <c r="U37" i="3" s="1"/>
  <c r="R36" i="3"/>
  <c r="U36" i="3" s="1"/>
  <c r="R34" i="3"/>
  <c r="U34" i="3" s="1"/>
  <c r="R33" i="3"/>
  <c r="U33" i="3" s="1"/>
  <c r="R32" i="3"/>
  <c r="U32" i="3" s="1"/>
  <c r="R31" i="3"/>
  <c r="U31" i="3" s="1"/>
  <c r="R30" i="3"/>
  <c r="U30" i="3" s="1"/>
  <c r="R29" i="3"/>
  <c r="U29" i="3" s="1"/>
  <c r="R28" i="3"/>
  <c r="U28" i="3" s="1"/>
  <c r="R27" i="3"/>
  <c r="U27" i="3" s="1"/>
  <c r="R26" i="3"/>
  <c r="R25" i="3"/>
  <c r="U25" i="3" s="1"/>
  <c r="R24" i="3"/>
  <c r="R23" i="3"/>
  <c r="U23" i="3" s="1"/>
  <c r="R22" i="3"/>
  <c r="U21" i="3"/>
  <c r="N42" i="3"/>
  <c r="R12" i="3"/>
  <c r="U12" i="3" s="1"/>
  <c r="R17" i="3"/>
  <c r="U17" i="3" s="1"/>
  <c r="R14" i="3"/>
  <c r="U14" i="3" s="1"/>
  <c r="R13" i="3"/>
  <c r="U13" i="3" s="1"/>
  <c r="R11" i="3"/>
  <c r="U11" i="3" s="1"/>
  <c r="R10" i="3"/>
  <c r="U10" i="3" s="1"/>
  <c r="R8" i="3"/>
  <c r="N18" i="3"/>
  <c r="L12" i="2"/>
  <c r="M12" i="2"/>
  <c r="K36" i="17"/>
  <c r="I36" i="17"/>
  <c r="L36" i="17"/>
  <c r="U26" i="17"/>
  <c r="M36" i="17"/>
  <c r="M42" i="3"/>
  <c r="L42" i="3"/>
  <c r="L18" i="3"/>
  <c r="M18" i="3"/>
  <c r="T42" i="3"/>
  <c r="U24" i="3" l="1"/>
  <c r="R42" i="3"/>
  <c r="U17" i="2"/>
  <c r="R36" i="2"/>
  <c r="U36" i="2" s="1"/>
  <c r="U22" i="3"/>
  <c r="U8" i="17"/>
  <c r="U8" i="3"/>
  <c r="R18" i="3"/>
  <c r="U26" i="3"/>
  <c r="N43" i="3"/>
  <c r="M37" i="2"/>
  <c r="M37" i="17"/>
  <c r="M43" i="3"/>
  <c r="L37" i="17"/>
  <c r="L43" i="3"/>
  <c r="K37" i="13"/>
  <c r="D4" i="1"/>
  <c r="E4" i="1" s="1"/>
  <c r="L37" i="2"/>
  <c r="N37" i="2"/>
  <c r="K47" i="13"/>
  <c r="K33" i="13"/>
  <c r="K23" i="13"/>
  <c r="G24" i="13"/>
  <c r="K16" i="13"/>
  <c r="R37" i="17"/>
  <c r="N36" i="17"/>
  <c r="N37" i="17" s="1"/>
  <c r="R43" i="3" l="1"/>
  <c r="U36" i="17"/>
  <c r="G48" i="13"/>
  <c r="U42" i="3"/>
  <c r="I48" i="13" l="1"/>
  <c r="K48" i="13" s="1"/>
  <c r="K41" i="13"/>
  <c r="K36" i="2"/>
  <c r="K12" i="2"/>
  <c r="J36" i="17"/>
  <c r="K15" i="17"/>
  <c r="K37" i="17" s="1"/>
  <c r="J42" i="3"/>
  <c r="I42" i="3"/>
  <c r="K42" i="3"/>
  <c r="K18" i="3"/>
  <c r="I18" i="3"/>
  <c r="J36" i="2"/>
  <c r="J12" i="2"/>
  <c r="T12" i="2"/>
  <c r="T37" i="2" s="1"/>
  <c r="I43" i="3" l="1"/>
  <c r="J37" i="2"/>
  <c r="J37" i="17"/>
  <c r="K43" i="3"/>
  <c r="K37" i="2"/>
  <c r="J18" i="3"/>
  <c r="J43" i="3" s="1"/>
  <c r="E6" i="1"/>
  <c r="I36" i="2"/>
  <c r="H36" i="2"/>
  <c r="G36" i="2"/>
  <c r="F36" i="2"/>
  <c r="I12" i="2"/>
  <c r="F12" i="2"/>
  <c r="G12" i="2"/>
  <c r="H12" i="2"/>
  <c r="I37" i="17"/>
  <c r="H28" i="15"/>
  <c r="H26" i="15"/>
  <c r="H25" i="15"/>
  <c r="H24" i="15"/>
  <c r="H23" i="15"/>
  <c r="H22" i="15"/>
  <c r="H21" i="15"/>
  <c r="G36" i="17"/>
  <c r="H36" i="17"/>
  <c r="H42" i="3"/>
  <c r="F42" i="3"/>
  <c r="G42" i="3"/>
  <c r="H18" i="3"/>
  <c r="H29" i="15" l="1"/>
  <c r="I37" i="2"/>
  <c r="H37" i="2"/>
  <c r="G37" i="2"/>
  <c r="F37" i="2"/>
  <c r="H43" i="3"/>
  <c r="H37" i="17"/>
  <c r="G37" i="17"/>
  <c r="F36" i="17"/>
  <c r="F15" i="17"/>
  <c r="G18" i="3"/>
  <c r="G43" i="3" s="1"/>
  <c r="Q36" i="17"/>
  <c r="Q37" i="17" s="1"/>
  <c r="P36" i="17"/>
  <c r="O36" i="17"/>
  <c r="K16" i="17"/>
  <c r="J16" i="17"/>
  <c r="I16" i="17"/>
  <c r="E5" i="1" l="1"/>
  <c r="U15" i="17"/>
  <c r="T37" i="17"/>
  <c r="P37" i="17"/>
  <c r="O37" i="17"/>
  <c r="F37" i="17"/>
  <c r="F18" i="3"/>
  <c r="F43" i="3" s="1"/>
  <c r="B5" i="15"/>
  <c r="P42" i="3" l="1"/>
  <c r="O42" i="3"/>
  <c r="Q43" i="3"/>
  <c r="K19" i="3"/>
  <c r="J19" i="3"/>
  <c r="I19" i="3"/>
  <c r="Q12" i="2"/>
  <c r="P12" i="2"/>
  <c r="O12" i="2"/>
  <c r="O37" i="2" s="1"/>
  <c r="R12" i="2" l="1"/>
  <c r="U18" i="3"/>
  <c r="T43" i="3"/>
  <c r="Q37" i="2"/>
  <c r="P37" i="2"/>
  <c r="P43" i="3"/>
  <c r="O43" i="3"/>
  <c r="U12" i="2" l="1"/>
  <c r="R37" i="2"/>
  <c r="U37" i="2" s="1"/>
  <c r="U43" i="3"/>
</calcChain>
</file>

<file path=xl/sharedStrings.xml><?xml version="1.0" encoding="utf-8"?>
<sst xmlns="http://schemas.openxmlformats.org/spreadsheetml/2006/main" count="427" uniqueCount="224">
  <si>
    <t>Statement of Financial Position</t>
  </si>
  <si>
    <t>Range</t>
  </si>
  <si>
    <t>Performance Indicators</t>
  </si>
  <si>
    <t>Targets</t>
  </si>
  <si>
    <t>Current Indicator</t>
  </si>
  <si>
    <t>Comment</t>
  </si>
  <si>
    <t>Good</t>
  </si>
  <si>
    <t>Monitor</t>
  </si>
  <si>
    <t>Act Now</t>
  </si>
  <si>
    <t>3 months</t>
  </si>
  <si>
    <t>Gross Store Sales to Net Sales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</si>
  <si>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</si>
  <si>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</si>
  <si>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</si>
  <si>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</si>
  <si>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</si>
  <si>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</si>
  <si>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</si>
  <si>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</si>
  <si>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</si>
  <si>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</si>
  <si>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</si>
  <si>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</si>
  <si>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Y-T-D</t>
  </si>
  <si>
    <t>Fiscal Year 2014</t>
  </si>
  <si>
    <t>% of Budget Variance To Date</t>
  </si>
  <si>
    <t>Budget</t>
  </si>
  <si>
    <t>Explanation of Significant Variance</t>
  </si>
  <si>
    <t>Revenue</t>
  </si>
  <si>
    <t>Other Income</t>
  </si>
  <si>
    <t>Interest Income-Bank</t>
  </si>
  <si>
    <t xml:space="preserve"> </t>
  </si>
  <si>
    <t>Donations</t>
  </si>
  <si>
    <t>Community Support</t>
  </si>
  <si>
    <t>State of Missouri</t>
  </si>
  <si>
    <t>Foundation Grants</t>
  </si>
  <si>
    <t>Thrift Store Revenue</t>
  </si>
  <si>
    <t>Total Revenue</t>
  </si>
  <si>
    <t>Expense</t>
  </si>
  <si>
    <t>Personnel</t>
  </si>
  <si>
    <t>Subcontracted Services</t>
  </si>
  <si>
    <t>Telephones/Internet</t>
  </si>
  <si>
    <t>Postage</t>
  </si>
  <si>
    <t>Office Rent/Utilities</t>
  </si>
  <si>
    <t>Supplies/Copies</t>
  </si>
  <si>
    <t>Travel (Program Related)</t>
  </si>
  <si>
    <t>Office Equipment</t>
  </si>
  <si>
    <t>Technology</t>
  </si>
  <si>
    <t>Professional Dev</t>
  </si>
  <si>
    <t>Audit</t>
  </si>
  <si>
    <t>Insurance/Bonding</t>
  </si>
  <si>
    <t>Public Relations/Comm Education</t>
  </si>
  <si>
    <t>Background Search</t>
  </si>
  <si>
    <t>Administrative Fee</t>
  </si>
  <si>
    <t>Vehicle Expense</t>
  </si>
  <si>
    <t>Board/Group Expenses</t>
  </si>
  <si>
    <t>Fees/Finance Charges</t>
  </si>
  <si>
    <t>Family Support</t>
  </si>
  <si>
    <t>Store Supplies</t>
  </si>
  <si>
    <t>Total Expense</t>
  </si>
  <si>
    <t>Revenue in Excess of Expense</t>
  </si>
  <si>
    <t>TOTAL FUNDS ADMINISTERED BY THE  COMMUNITY PARTNERSHIP</t>
  </si>
  <si>
    <t>State Contracts under the Caring Communities initiative</t>
  </si>
  <si>
    <t>Senate Bill 40 Board</t>
  </si>
  <si>
    <t>MO Preschool Project</t>
  </si>
  <si>
    <t>Resale Shop</t>
  </si>
  <si>
    <t>Contracted Services</t>
  </si>
  <si>
    <t>Educare Services</t>
  </si>
  <si>
    <t>Community Neighborhood Development</t>
  </si>
  <si>
    <t>Caring Communities</t>
  </si>
  <si>
    <t>Fiscal Year 2015</t>
  </si>
  <si>
    <t>Capable Kids and Families</t>
  </si>
  <si>
    <t>Missouri Mentoring Partnership</t>
  </si>
  <si>
    <t>$ Change</t>
  </si>
  <si>
    <t>ASSETS</t>
  </si>
  <si>
    <t>NOW Acct - PCB</t>
  </si>
  <si>
    <t>CFO-Money Market Account</t>
  </si>
  <si>
    <t>A/R Vendors</t>
  </si>
  <si>
    <t>Resale Store Cash Drawer</t>
  </si>
  <si>
    <t>Security Deposit</t>
  </si>
  <si>
    <t>Total Current Assets</t>
  </si>
  <si>
    <t>Less: Accumulated Depreciation</t>
  </si>
  <si>
    <t>TOTAL ASSETS</t>
  </si>
  <si>
    <t>LIABILITIES &amp; EQUITY</t>
  </si>
  <si>
    <t>Accounts Payable</t>
  </si>
  <si>
    <t>Payable Foster Adopt Fund</t>
  </si>
  <si>
    <t>Payroll Liabilities</t>
  </si>
  <si>
    <t>Accrued Vacation Payable</t>
  </si>
  <si>
    <t>Total Current Liabilities</t>
  </si>
  <si>
    <t>Deferred Revenue - Grant Carryover</t>
  </si>
  <si>
    <t>Total Liabilities</t>
  </si>
  <si>
    <t>Equity</t>
  </si>
  <si>
    <t>Opening Bal Equity</t>
  </si>
  <si>
    <t>Net Income For Period</t>
  </si>
  <si>
    <t>Total Equity</t>
  </si>
  <si>
    <t>TOTAL LIABILITIES &amp; EQUITY</t>
  </si>
  <si>
    <t>OPERATING ACTIVITIES</t>
  </si>
  <si>
    <t>Net Income</t>
  </si>
  <si>
    <t>Adjustments to reconcile Net Income</t>
  </si>
  <si>
    <t>to net cash provided by operations:</t>
  </si>
  <si>
    <t>Simple IRA Payable</t>
  </si>
  <si>
    <t>Medical W/H Payable</t>
  </si>
  <si>
    <t>SS Payable</t>
  </si>
  <si>
    <t>SUTA Payable</t>
  </si>
  <si>
    <t>Net cash provided by Operating Activities</t>
  </si>
  <si>
    <t>INVESTING ACTIVITIES</t>
  </si>
  <si>
    <t>Net cash increase for period</t>
  </si>
  <si>
    <t>Cash at beginning of period</t>
  </si>
  <si>
    <t>Cash at end of period</t>
  </si>
  <si>
    <t>Retained Earnings, ending fiscal year 2010</t>
  </si>
  <si>
    <t>Net Income, fiscal year 2011</t>
  </si>
  <si>
    <t>Retained Earnings, ending fiscal year 2012</t>
  </si>
  <si>
    <t>Net Income, fiscal year 2013</t>
  </si>
  <si>
    <t>Retained Earnings, ending fiscal year 2013</t>
  </si>
  <si>
    <t>Net Income, fiscal year 2014</t>
  </si>
  <si>
    <t>Retained Earning, ending fiscal year 2014</t>
  </si>
  <si>
    <t>Retained earnings broken down per program</t>
  </si>
  <si>
    <t>Fiscal Year 2013</t>
  </si>
  <si>
    <t>Net Income FY2014</t>
  </si>
  <si>
    <t>The Partnership</t>
  </si>
  <si>
    <t>Fostering Education Futures</t>
  </si>
  <si>
    <t>Linking Hearts</t>
  </si>
  <si>
    <t>Independent Living Program</t>
  </si>
  <si>
    <t>Program Funds Administered by The Community Parntership</t>
  </si>
  <si>
    <t xml:space="preserve">Interest on NOW and Money Market Accounts </t>
  </si>
  <si>
    <t>State Contracts</t>
  </si>
  <si>
    <t>Lincoln Group Term Life</t>
  </si>
  <si>
    <t>Vision Payable</t>
  </si>
  <si>
    <t>Unrestricted</t>
  </si>
  <si>
    <t>Restricted</t>
  </si>
  <si>
    <t>Status</t>
  </si>
  <si>
    <t>Workers Comp Payable</t>
  </si>
  <si>
    <t>Deferred Receivable</t>
  </si>
  <si>
    <t>Federal W/H Payable</t>
  </si>
  <si>
    <t>Medicare Payable</t>
  </si>
  <si>
    <t>Deferred Revenue - Grant Caryover</t>
  </si>
  <si>
    <t>Current Ratio (Current Assets/Current Liab)</t>
  </si>
  <si>
    <t>PCB Sweep Account</t>
  </si>
  <si>
    <t>July - June 2015</t>
  </si>
  <si>
    <t>Net Income, fiscal year 2015</t>
  </si>
  <si>
    <t>Retained Earning, ending fiscal year 2015</t>
  </si>
  <si>
    <t>Fiscal Year 2016</t>
  </si>
  <si>
    <t>Net Income 2015</t>
  </si>
  <si>
    <t xml:space="preserve">TMM Acct - PCB </t>
  </si>
  <si>
    <t>Wage Garnishment</t>
  </si>
  <si>
    <t>Community Support - ASK event in Oct</t>
  </si>
  <si>
    <t>YTD</t>
  </si>
  <si>
    <t>State W/H Payable</t>
  </si>
  <si>
    <t>Contributions to TCP</t>
  </si>
  <si>
    <t>Inventory Resale Shop</t>
  </si>
  <si>
    <t>Inventory</t>
  </si>
  <si>
    <t>Voluntary Benefits</t>
  </si>
  <si>
    <t>Non Cash Donations</t>
  </si>
  <si>
    <t>Vehicle - 2016 Ford E350</t>
  </si>
  <si>
    <t>Note Payable - Riverways CU</t>
  </si>
  <si>
    <t>Current Liabilities</t>
  </si>
  <si>
    <t>Long Term Liabilities</t>
  </si>
  <si>
    <t>Long Term Note Payable - Truck</t>
  </si>
  <si>
    <t>Total Long Term Liabilities</t>
  </si>
  <si>
    <t>Note Payable Riverways</t>
  </si>
  <si>
    <t>Section 125 Payable</t>
  </si>
  <si>
    <t>Net cash provided by Financing Activities</t>
  </si>
  <si>
    <t>Net cash provided by Investing Activities</t>
  </si>
  <si>
    <t>Financing Activities</t>
  </si>
  <si>
    <t>Long Term Note Payable Truck</t>
  </si>
  <si>
    <t>Payroll Liab</t>
  </si>
  <si>
    <t>Non Restricted Funds</t>
  </si>
  <si>
    <t>Vehicle Depreciation- 2016 Ford E350 Truck</t>
  </si>
  <si>
    <t>1978 Fuehauf Trailer</t>
  </si>
  <si>
    <t>1982 Kentucky Trailer</t>
  </si>
  <si>
    <t>Vehicle - 1997 Ford E350 Truck</t>
  </si>
  <si>
    <t>Vehicle - 2016 Ford F350 Truck</t>
  </si>
  <si>
    <t>1982 Kentucky Trialer</t>
  </si>
  <si>
    <t>Net Income, fiscal year 2016</t>
  </si>
  <si>
    <t>Retained Earning, ending fiscal year 2016</t>
  </si>
  <si>
    <t>Net Income 2016</t>
  </si>
  <si>
    <t>Fiscal Year 2017</t>
  </si>
  <si>
    <t>Discount on Payroll Taxes</t>
  </si>
  <si>
    <t>Runs on Calendar Year</t>
  </si>
  <si>
    <t>Registration Fees</t>
  </si>
  <si>
    <t>Net Income, Fiscal year 2017</t>
  </si>
  <si>
    <t>Retained Earnings, Ending fiscal year 2017</t>
  </si>
  <si>
    <t>Net Income FY17</t>
  </si>
  <si>
    <t>Fiscal Year 2018</t>
  </si>
  <si>
    <t>FY 2018</t>
  </si>
  <si>
    <t>Emergency Funds</t>
  </si>
  <si>
    <t>Prepaids</t>
  </si>
  <si>
    <t xml:space="preserve">Background Search </t>
  </si>
  <si>
    <t>Credit Cards Payable</t>
  </si>
  <si>
    <t>PCB Mastercard</t>
  </si>
  <si>
    <t>US Bank Mastercard</t>
  </si>
  <si>
    <t>Net Assets Released from Reserves</t>
  </si>
  <si>
    <t>Edward Jones Account</t>
  </si>
  <si>
    <t>Net Assets Released for Remodel</t>
  </si>
  <si>
    <t>Program Funds Moved to Reserves</t>
  </si>
  <si>
    <t>Net Income FY18</t>
  </si>
  <si>
    <t>Fiscal Year 2019</t>
  </si>
  <si>
    <t>Net Income, Fiscal year 2018</t>
  </si>
  <si>
    <t>Retained Earning, Ending fiscal year 2018</t>
  </si>
  <si>
    <t>Early Childhood</t>
  </si>
  <si>
    <t>Net Assets without donor restrictions</t>
  </si>
  <si>
    <t>Net Assets with donor restriction</t>
  </si>
  <si>
    <t>PREP</t>
  </si>
  <si>
    <t>FY 2019</t>
  </si>
  <si>
    <t>Children's Trust Fund</t>
  </si>
  <si>
    <t>Background Search - Emp</t>
  </si>
  <si>
    <t>Carryover from FY2018</t>
  </si>
  <si>
    <t>Contracts with FCFC</t>
  </si>
  <si>
    <t xml:space="preserve">Contracts with FCFC </t>
  </si>
  <si>
    <t>Able to charge more to programs in Aug.</t>
  </si>
  <si>
    <t>Copies made by programs - varies monthly</t>
  </si>
  <si>
    <t>Emergency Funds for client - not in budget</t>
  </si>
  <si>
    <t>Operating Reserves in Months (Liquid Assets/Avg Monthly Expenses)</t>
  </si>
  <si>
    <t>Total Restricted</t>
  </si>
  <si>
    <t>Bulk paid in beginning of the year</t>
  </si>
  <si>
    <t>ASK Event in October</t>
  </si>
  <si>
    <t>Increased Depreciation Schedule</t>
  </si>
  <si>
    <t>Resale Shop Temporary Help</t>
  </si>
  <si>
    <t>Change in Depreciation</t>
  </si>
  <si>
    <t>10/31/2018</t>
  </si>
  <si>
    <t>10/31/2017</t>
  </si>
  <si>
    <t>Total Vehicles &amp; Leasehold Improvements</t>
  </si>
  <si>
    <t>Leasehold Improvements</t>
  </si>
  <si>
    <t>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</si>
</sst>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i/>
      <sz val="16"/>
      <color indexed="8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11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1" fillId="0" borderId="0" xfId="1"/>
    <xf numFmtId="14" fontId="1" fillId="0" borderId="0" xfId="1" applyNumberFormat="1" applyAlignment="1">
      <alignment horizontal="center"/>
    </xf>
    <xf numFmtId="0" fontId="3" fillId="0" borderId="1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wrapText="1"/>
    </xf>
    <xf numFmtId="9" fontId="1" fillId="0" borderId="1" xfId="1" applyNumberFormat="1" applyBorder="1" applyAlignment="1">
      <alignment horizontal="center"/>
    </xf>
    <xf numFmtId="0" fontId="2" fillId="0" borderId="0" xfId="1" applyFont="1"/>
    <xf numFmtId="49" fontId="5" fillId="0" borderId="3" xfId="0" applyNumberFormat="1" applyFont="1" applyBorder="1"/>
    <xf numFmtId="49" fontId="6" fillId="0" borderId="3" xfId="0" applyNumberFormat="1" applyFont="1" applyBorder="1"/>
    <xf numFmtId="41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1" fontId="7" fillId="0" borderId="3" xfId="0" applyNumberFormat="1" applyFont="1" applyFill="1" applyBorder="1" applyAlignment="1">
      <alignment horizontal="center" wrapText="1"/>
    </xf>
    <xf numFmtId="49" fontId="7" fillId="0" borderId="3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1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1" fontId="7" fillId="0" borderId="5" xfId="0" applyNumberFormat="1" applyFont="1" applyFill="1" applyBorder="1" applyAlignment="1">
      <alignment horizontal="center" wrapText="1"/>
    </xf>
    <xf numFmtId="49" fontId="7" fillId="0" borderId="5" xfId="0" applyNumberFormat="1" applyFont="1" applyBorder="1" applyAlignment="1">
      <alignment horizontal="center"/>
    </xf>
    <xf numFmtId="41" fontId="5" fillId="0" borderId="7" xfId="0" applyNumberFormat="1" applyFont="1" applyBorder="1" applyAlignment="1"/>
    <xf numFmtId="41" fontId="10" fillId="0" borderId="7" xfId="0" applyNumberFormat="1" applyFont="1" applyBorder="1" applyAlignment="1"/>
    <xf numFmtId="41" fontId="10" fillId="0" borderId="0" xfId="0" applyNumberFormat="1" applyFont="1" applyFill="1" applyBorder="1" applyAlignment="1"/>
    <xf numFmtId="49" fontId="11" fillId="0" borderId="0" xfId="0" applyNumberFormat="1" applyFont="1" applyAlignment="1">
      <alignment vertical="center"/>
    </xf>
    <xf numFmtId="49" fontId="5" fillId="0" borderId="0" xfId="0" applyNumberFormat="1" applyFont="1"/>
    <xf numFmtId="43" fontId="5" fillId="0" borderId="0" xfId="0" applyNumberFormat="1" applyFont="1"/>
    <xf numFmtId="41" fontId="10" fillId="0" borderId="0" xfId="0" applyNumberFormat="1" applyFont="1"/>
    <xf numFmtId="3" fontId="10" fillId="0" borderId="0" xfId="0" applyNumberFormat="1" applyFont="1"/>
    <xf numFmtId="41" fontId="10" fillId="0" borderId="0" xfId="0" applyNumberFormat="1" applyFont="1" applyAlignment="1"/>
    <xf numFmtId="40" fontId="9" fillId="0" borderId="0" xfId="0" applyNumberFormat="1" applyFont="1" applyAlignment="1">
      <alignment horizontal="right"/>
    </xf>
    <xf numFmtId="49" fontId="10" fillId="0" borderId="0" xfId="0" applyNumberFormat="1" applyFont="1"/>
    <xf numFmtId="3" fontId="10" fillId="0" borderId="0" xfId="0" applyNumberFormat="1" applyFont="1" applyAlignment="1">
      <alignment horizontal="right"/>
    </xf>
    <xf numFmtId="164" fontId="10" fillId="0" borderId="0" xfId="0" applyNumberFormat="1" applyFont="1" applyFill="1" applyBorder="1" applyAlignment="1"/>
    <xf numFmtId="0" fontId="9" fillId="0" borderId="0" xfId="0" applyFont="1"/>
    <xf numFmtId="49" fontId="5" fillId="0" borderId="7" xfId="0" applyNumberFormat="1" applyFont="1" applyBorder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0" fontId="9" fillId="0" borderId="5" xfId="0" applyFont="1" applyBorder="1"/>
    <xf numFmtId="49" fontId="11" fillId="0" borderId="8" xfId="0" applyNumberFormat="1" applyFont="1" applyBorder="1" applyAlignment="1">
      <alignment vertical="center"/>
    </xf>
    <xf numFmtId="42" fontId="11" fillId="0" borderId="8" xfId="0" applyNumberFormat="1" applyFont="1" applyBorder="1" applyAlignment="1">
      <alignment vertical="center"/>
    </xf>
    <xf numFmtId="42" fontId="11" fillId="0" borderId="9" xfId="0" applyNumberFormat="1" applyFont="1" applyBorder="1" applyAlignment="1">
      <alignment vertical="center"/>
    </xf>
    <xf numFmtId="41" fontId="11" fillId="0" borderId="8" xfId="0" applyNumberFormat="1" applyFont="1" applyFill="1" applyBorder="1" applyAlignment="1">
      <alignment vertical="center"/>
    </xf>
    <xf numFmtId="164" fontId="11" fillId="0" borderId="8" xfId="0" applyNumberFormat="1" applyFont="1" applyFill="1" applyBorder="1" applyAlignment="1"/>
    <xf numFmtId="0" fontId="12" fillId="0" borderId="8" xfId="0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42" fontId="11" fillId="0" borderId="10" xfId="0" applyNumberFormat="1" applyFont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41" fontId="5" fillId="0" borderId="0" xfId="0" applyNumberFormat="1" applyFont="1"/>
    <xf numFmtId="3" fontId="5" fillId="0" borderId="0" xfId="0" applyNumberFormat="1" applyFont="1"/>
    <xf numFmtId="49" fontId="10" fillId="0" borderId="0" xfId="0" applyNumberFormat="1" applyFont="1" applyFill="1"/>
    <xf numFmtId="49" fontId="13" fillId="0" borderId="0" xfId="0" applyNumberFormat="1" applyFont="1" applyFill="1"/>
    <xf numFmtId="41" fontId="10" fillId="0" borderId="0" xfId="0" applyNumberFormat="1" applyFont="1" applyFill="1"/>
    <xf numFmtId="41" fontId="10" fillId="0" borderId="7" xfId="0" applyNumberFormat="1" applyFont="1" applyFill="1" applyBorder="1" applyAlignment="1"/>
    <xf numFmtId="41" fontId="10" fillId="0" borderId="0" xfId="0" applyNumberFormat="1" applyFont="1" applyFill="1" applyAlignment="1"/>
    <xf numFmtId="49" fontId="10" fillId="0" borderId="0" xfId="0" applyNumberFormat="1" applyFont="1" applyAlignment="1"/>
    <xf numFmtId="0" fontId="9" fillId="0" borderId="0" xfId="0" applyFont="1" applyAlignment="1">
      <alignment wrapText="1"/>
    </xf>
    <xf numFmtId="49" fontId="10" fillId="0" borderId="0" xfId="0" applyNumberFormat="1" applyFont="1" applyBorder="1"/>
    <xf numFmtId="41" fontId="10" fillId="0" borderId="0" xfId="0" applyNumberFormat="1" applyFont="1" applyBorder="1"/>
    <xf numFmtId="41" fontId="10" fillId="0" borderId="0" xfId="0" applyNumberFormat="1" applyFont="1" applyBorder="1" applyAlignment="1"/>
    <xf numFmtId="0" fontId="9" fillId="0" borderId="0" xfId="0" applyFont="1" applyBorder="1"/>
    <xf numFmtId="49" fontId="11" fillId="0" borderId="8" xfId="0" applyNumberFormat="1" applyFont="1" applyBorder="1"/>
    <xf numFmtId="49" fontId="14" fillId="0" borderId="8" xfId="0" applyNumberFormat="1" applyFont="1" applyBorder="1"/>
    <xf numFmtId="42" fontId="14" fillId="0" borderId="8" xfId="0" applyNumberFormat="1" applyFont="1" applyBorder="1" applyAlignment="1"/>
    <xf numFmtId="41" fontId="14" fillId="0" borderId="9" xfId="0" applyNumberFormat="1" applyFont="1" applyBorder="1" applyAlignment="1"/>
    <xf numFmtId="42" fontId="14" fillId="0" borderId="9" xfId="0" applyNumberFormat="1" applyFont="1" applyBorder="1" applyAlignment="1"/>
    <xf numFmtId="41" fontId="14" fillId="0" borderId="8" xfId="0" applyNumberFormat="1" applyFont="1" applyFill="1" applyBorder="1" applyAlignment="1"/>
    <xf numFmtId="0" fontId="15" fillId="0" borderId="8" xfId="0" applyFont="1" applyBorder="1"/>
    <xf numFmtId="49" fontId="11" fillId="0" borderId="12" xfId="0" applyNumberFormat="1" applyFont="1" applyBorder="1"/>
    <xf numFmtId="42" fontId="11" fillId="0" borderId="12" xfId="0" applyNumberFormat="1" applyFont="1" applyBorder="1" applyAlignment="1"/>
    <xf numFmtId="41" fontId="11" fillId="0" borderId="13" xfId="0" applyNumberFormat="1" applyFont="1" applyBorder="1" applyAlignment="1"/>
    <xf numFmtId="164" fontId="11" fillId="0" borderId="12" xfId="0" applyNumberFormat="1" applyFont="1" applyFill="1" applyBorder="1" applyAlignment="1"/>
    <xf numFmtId="0" fontId="15" fillId="0" borderId="12" xfId="0" applyFont="1" applyBorder="1"/>
    <xf numFmtId="49" fontId="5" fillId="0" borderId="3" xfId="0" applyNumberFormat="1" applyFont="1" applyBorder="1" applyAlignment="1">
      <alignment horizontal="center"/>
    </xf>
    <xf numFmtId="49" fontId="5" fillId="0" borderId="14" xfId="0" applyNumberFormat="1" applyFont="1" applyBorder="1"/>
    <xf numFmtId="49" fontId="6" fillId="0" borderId="14" xfId="0" applyNumberFormat="1" applyFont="1" applyBorder="1"/>
    <xf numFmtId="49" fontId="2" fillId="0" borderId="1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1" fontId="2" fillId="0" borderId="14" xfId="0" applyNumberFormat="1" applyFont="1" applyFill="1" applyBorder="1" applyAlignment="1">
      <alignment horizontal="center" wrapText="1"/>
    </xf>
    <xf numFmtId="164" fontId="12" fillId="0" borderId="14" xfId="0" applyNumberFormat="1" applyFont="1" applyBorder="1" applyAlignment="1">
      <alignment horizontal="center" wrapText="1"/>
    </xf>
    <xf numFmtId="0" fontId="1" fillId="0" borderId="14" xfId="0" applyFont="1" applyBorder="1"/>
    <xf numFmtId="49" fontId="5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64" fontId="10" fillId="0" borderId="0" xfId="0" applyNumberFormat="1" applyFont="1"/>
    <xf numFmtId="4" fontId="10" fillId="0" borderId="0" xfId="0" applyNumberFormat="1" applyFont="1" applyFill="1" applyAlignment="1"/>
    <xf numFmtId="164" fontId="10" fillId="0" borderId="0" xfId="0" applyNumberFormat="1" applyFont="1" applyFill="1" applyAlignment="1"/>
    <xf numFmtId="0" fontId="9" fillId="0" borderId="0" xfId="0" applyFont="1" applyAlignment="1">
      <alignment horizontal="left" wrapText="1"/>
    </xf>
    <xf numFmtId="49" fontId="5" fillId="0" borderId="0" xfId="0" applyNumberFormat="1" applyFont="1" applyFill="1"/>
    <xf numFmtId="164" fontId="10" fillId="0" borderId="0" xfId="0" applyNumberFormat="1" applyFont="1" applyFill="1"/>
    <xf numFmtId="49" fontId="4" fillId="0" borderId="8" xfId="0" applyNumberFormat="1" applyFont="1" applyBorder="1"/>
    <xf numFmtId="41" fontId="4" fillId="0" borderId="9" xfId="0" applyNumberFormat="1" applyFont="1" applyBorder="1" applyAlignment="1"/>
    <xf numFmtId="42" fontId="4" fillId="0" borderId="8" xfId="0" applyNumberFormat="1" applyFont="1" applyBorder="1" applyAlignment="1"/>
    <xf numFmtId="42" fontId="4" fillId="0" borderId="9" xfId="0" applyNumberFormat="1" applyFont="1" applyBorder="1" applyAlignment="1"/>
    <xf numFmtId="42" fontId="4" fillId="0" borderId="8" xfId="0" applyNumberFormat="1" applyFont="1" applyFill="1" applyBorder="1" applyAlignment="1"/>
    <xf numFmtId="164" fontId="4" fillId="0" borderId="8" xfId="0" applyNumberFormat="1" applyFont="1" applyFill="1" applyBorder="1" applyAlignment="1"/>
    <xf numFmtId="164" fontId="4" fillId="0" borderId="8" xfId="0" applyNumberFormat="1" applyFont="1" applyBorder="1"/>
    <xf numFmtId="0" fontId="9" fillId="0" borderId="8" xfId="0" applyFont="1" applyBorder="1"/>
    <xf numFmtId="49" fontId="11" fillId="0" borderId="12" xfId="0" applyNumberFormat="1" applyFont="1" applyBorder="1" applyAlignment="1">
      <alignment vertical="center"/>
    </xf>
    <xf numFmtId="49" fontId="4" fillId="0" borderId="12" xfId="0" applyNumberFormat="1" applyFont="1" applyBorder="1"/>
    <xf numFmtId="41" fontId="4" fillId="0" borderId="13" xfId="0" applyNumberFormat="1" applyFont="1" applyBorder="1" applyAlignment="1"/>
    <xf numFmtId="41" fontId="10" fillId="0" borderId="16" xfId="0" applyNumberFormat="1" applyFont="1" applyBorder="1" applyAlignment="1"/>
    <xf numFmtId="41" fontId="10" fillId="0" borderId="12" xfId="0" applyNumberFormat="1" applyFont="1" applyBorder="1" applyAlignment="1"/>
    <xf numFmtId="42" fontId="10" fillId="0" borderId="13" xfId="0" applyNumberFormat="1" applyFont="1" applyBorder="1" applyAlignment="1"/>
    <xf numFmtId="164" fontId="4" fillId="0" borderId="12" xfId="0" applyNumberFormat="1" applyFont="1" applyBorder="1"/>
    <xf numFmtId="0" fontId="9" fillId="0" borderId="12" xfId="0" applyFont="1" applyBorder="1"/>
    <xf numFmtId="49" fontId="5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1" fontId="10" fillId="0" borderId="7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49" fontId="13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41" fontId="17" fillId="0" borderId="9" xfId="0" applyNumberFormat="1" applyFont="1" applyBorder="1" applyAlignment="1"/>
    <xf numFmtId="42" fontId="17" fillId="0" borderId="7" xfId="0" applyNumberFormat="1" applyFont="1" applyFill="1" applyBorder="1" applyAlignment="1"/>
    <xf numFmtId="42" fontId="17" fillId="0" borderId="8" xfId="0" applyNumberFormat="1" applyFont="1" applyFill="1" applyBorder="1" applyAlignment="1">
      <alignment vertical="center"/>
    </xf>
    <xf numFmtId="164" fontId="17" fillId="0" borderId="8" xfId="0" applyNumberFormat="1" applyFont="1" applyFill="1" applyBorder="1" applyAlignment="1">
      <alignment vertical="center"/>
    </xf>
    <xf numFmtId="164" fontId="17" fillId="0" borderId="8" xfId="0" applyNumberFormat="1" applyFont="1" applyBorder="1"/>
    <xf numFmtId="49" fontId="18" fillId="0" borderId="12" xfId="0" applyNumberFormat="1" applyFont="1" applyBorder="1" applyAlignment="1">
      <alignment vertical="center"/>
    </xf>
    <xf numFmtId="41" fontId="11" fillId="0" borderId="13" xfId="0" applyNumberFormat="1" applyFont="1" applyBorder="1" applyAlignment="1">
      <alignment vertical="center"/>
    </xf>
    <xf numFmtId="41" fontId="11" fillId="0" borderId="11" xfId="0" applyNumberFormat="1" applyFont="1" applyBorder="1" applyAlignment="1">
      <alignment vertical="center"/>
    </xf>
    <xf numFmtId="43" fontId="11" fillId="0" borderId="12" xfId="0" applyNumberFormat="1" applyFont="1" applyFill="1" applyBorder="1" applyAlignment="1">
      <alignment vertical="center"/>
    </xf>
    <xf numFmtId="164" fontId="11" fillId="0" borderId="12" xfId="0" applyNumberFormat="1" applyFont="1" applyBorder="1" applyAlignment="1">
      <alignment vertical="center"/>
    </xf>
    <xf numFmtId="0" fontId="19" fillId="0" borderId="12" xfId="0" applyFont="1" applyBorder="1"/>
    <xf numFmtId="41" fontId="4" fillId="0" borderId="8" xfId="0" applyNumberFormat="1" applyFont="1" applyBorder="1" applyAlignment="1"/>
    <xf numFmtId="41" fontId="4" fillId="0" borderId="16" xfId="0" applyNumberFormat="1" applyFont="1" applyBorder="1" applyAlignment="1"/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7" fillId="0" borderId="8" xfId="0" applyNumberFormat="1" applyFont="1" applyBorder="1" applyAlignment="1"/>
    <xf numFmtId="41" fontId="11" fillId="0" borderId="12" xfId="0" applyNumberFormat="1" applyFont="1" applyBorder="1" applyAlignment="1">
      <alignment vertical="center"/>
    </xf>
    <xf numFmtId="0" fontId="10" fillId="0" borderId="12" xfId="0" applyNumberFormat="1" applyFont="1" applyFill="1" applyBorder="1" applyAlignment="1"/>
    <xf numFmtId="49" fontId="2" fillId="0" borderId="17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1" fontId="10" fillId="0" borderId="19" xfId="0" applyNumberFormat="1" applyFont="1" applyBorder="1" applyAlignment="1"/>
    <xf numFmtId="42" fontId="4" fillId="0" borderId="20" xfId="0" applyNumberFormat="1" applyFont="1" applyBorder="1" applyAlignment="1"/>
    <xf numFmtId="41" fontId="10" fillId="0" borderId="19" xfId="0" applyNumberFormat="1" applyFont="1" applyBorder="1" applyAlignment="1">
      <alignment vertical="center"/>
    </xf>
    <xf numFmtId="41" fontId="17" fillId="0" borderId="20" xfId="0" applyNumberFormat="1" applyFont="1" applyBorder="1" applyAlignment="1"/>
    <xf numFmtId="41" fontId="11" fillId="0" borderId="16" xfId="0" applyNumberFormat="1" applyFont="1" applyBorder="1" applyAlignment="1">
      <alignment vertical="center"/>
    </xf>
    <xf numFmtId="41" fontId="11" fillId="0" borderId="8" xfId="0" applyNumberFormat="1" applyFont="1" applyBorder="1" applyAlignment="1"/>
    <xf numFmtId="0" fontId="9" fillId="0" borderId="0" xfId="0" applyFont="1" applyFill="1"/>
    <xf numFmtId="42" fontId="11" fillId="0" borderId="8" xfId="0" applyNumberFormat="1" applyFont="1" applyBorder="1" applyAlignment="1"/>
    <xf numFmtId="0" fontId="1" fillId="0" borderId="0" xfId="0" applyFont="1"/>
    <xf numFmtId="49" fontId="6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0" fillId="0" borderId="5" xfId="0" applyNumberFormat="1" applyBorder="1" applyAlignment="1">
      <alignment horizontal="center"/>
    </xf>
    <xf numFmtId="39" fontId="20" fillId="0" borderId="0" xfId="0" applyNumberFormat="1" applyFont="1"/>
    <xf numFmtId="49" fontId="20" fillId="0" borderId="0" xfId="0" applyNumberFormat="1" applyFont="1"/>
    <xf numFmtId="0" fontId="20" fillId="0" borderId="0" xfId="0" applyNumberFormat="1" applyFont="1"/>
    <xf numFmtId="39" fontId="20" fillId="0" borderId="0" xfId="0" applyNumberFormat="1" applyFont="1" applyBorder="1"/>
    <xf numFmtId="49" fontId="20" fillId="0" borderId="0" xfId="0" applyNumberFormat="1" applyFont="1" applyBorder="1"/>
    <xf numFmtId="49" fontId="20" fillId="0" borderId="0" xfId="0" applyNumberFormat="1" applyFont="1" applyAlignment="1">
      <alignment horizontal="left"/>
    </xf>
    <xf numFmtId="49" fontId="6" fillId="0" borderId="5" xfId="0" applyNumberFormat="1" applyFont="1" applyBorder="1"/>
    <xf numFmtId="49" fontId="20" fillId="0" borderId="5" xfId="0" applyNumberFormat="1" applyFont="1" applyBorder="1"/>
    <xf numFmtId="0" fontId="20" fillId="0" borderId="5" xfId="0" applyNumberFormat="1" applyFont="1" applyBorder="1"/>
    <xf numFmtId="39" fontId="20" fillId="0" borderId="5" xfId="0" applyNumberFormat="1" applyFont="1" applyBorder="1"/>
    <xf numFmtId="49" fontId="6" fillId="0" borderId="21" xfId="0" applyNumberFormat="1" applyFont="1" applyBorder="1"/>
    <xf numFmtId="39" fontId="20" fillId="0" borderId="21" xfId="0" applyNumberFormat="1" applyFont="1" applyBorder="1"/>
    <xf numFmtId="49" fontId="20" fillId="0" borderId="21" xfId="0" applyNumberFormat="1" applyFont="1" applyBorder="1"/>
    <xf numFmtId="49" fontId="6" fillId="0" borderId="22" xfId="0" applyNumberFormat="1" applyFont="1" applyBorder="1"/>
    <xf numFmtId="49" fontId="20" fillId="0" borderId="22" xfId="0" applyNumberFormat="1" applyFont="1" applyBorder="1"/>
    <xf numFmtId="39" fontId="20" fillId="0" borderId="22" xfId="0" applyNumberFormat="1" applyFont="1" applyBorder="1"/>
    <xf numFmtId="49" fontId="6" fillId="0" borderId="23" xfId="0" applyNumberFormat="1" applyFont="1" applyBorder="1"/>
    <xf numFmtId="39" fontId="6" fillId="0" borderId="23" xfId="0" applyNumberFormat="1" applyFont="1" applyBorder="1"/>
    <xf numFmtId="0" fontId="6" fillId="0" borderId="0" xfId="0" applyNumberFormat="1" applyFont="1"/>
    <xf numFmtId="0" fontId="0" fillId="0" borderId="0" xfId="0" applyNumberFormat="1"/>
    <xf numFmtId="49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39" fontId="20" fillId="0" borderId="10" xfId="0" applyNumberFormat="1" applyFont="1" applyBorder="1"/>
    <xf numFmtId="39" fontId="20" fillId="0" borderId="12" xfId="0" applyNumberFormat="1" applyFont="1" applyBorder="1"/>
    <xf numFmtId="39" fontId="6" fillId="0" borderId="24" xfId="0" applyNumberFormat="1" applyFont="1" applyBorder="1"/>
    <xf numFmtId="44" fontId="1" fillId="0" borderId="0" xfId="0" applyNumberFormat="1" applyFont="1" applyBorder="1"/>
    <xf numFmtId="44" fontId="0" fillId="0" borderId="0" xfId="0" applyNumberFormat="1"/>
    <xf numFmtId="44" fontId="0" fillId="0" borderId="0" xfId="0" applyNumberFormat="1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2" fillId="0" borderId="0" xfId="0" applyFont="1" applyAlignment="1">
      <alignment horizontal="right"/>
    </xf>
    <xf numFmtId="44" fontId="7" fillId="0" borderId="23" xfId="0" applyNumberFormat="1" applyFont="1" applyBorder="1"/>
    <xf numFmtId="44" fontId="0" fillId="0" borderId="23" xfId="0" applyNumberFormat="1" applyBorder="1"/>
    <xf numFmtId="4" fontId="7" fillId="0" borderId="23" xfId="0" applyNumberFormat="1" applyFont="1" applyBorder="1"/>
    <xf numFmtId="41" fontId="13" fillId="0" borderId="0" xfId="0" applyNumberFormat="1" applyFont="1" applyFill="1"/>
    <xf numFmtId="42" fontId="14" fillId="0" borderId="8" xfId="0" applyNumberFormat="1" applyFont="1" applyBorder="1"/>
    <xf numFmtId="42" fontId="11" fillId="0" borderId="12" xfId="0" applyNumberFormat="1" applyFont="1" applyBorder="1"/>
    <xf numFmtId="41" fontId="10" fillId="0" borderId="19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left"/>
    </xf>
    <xf numFmtId="44" fontId="2" fillId="0" borderId="0" xfId="0" applyNumberFormat="1" applyFont="1" applyBorder="1"/>
    <xf numFmtId="0" fontId="0" fillId="0" borderId="26" xfId="0" applyBorder="1"/>
    <xf numFmtId="0" fontId="0" fillId="0" borderId="0" xfId="0" applyAlignment="1">
      <alignment horizontal="right"/>
    </xf>
    <xf numFmtId="4" fontId="21" fillId="4" borderId="1" xfId="0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2" fontId="21" fillId="4" borderId="1" xfId="0" applyNumberFormat="1" applyFont="1" applyFill="1" applyBorder="1" applyAlignment="1">
      <alignment horizontal="center"/>
    </xf>
    <xf numFmtId="9" fontId="21" fillId="4" borderId="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4" fontId="7" fillId="0" borderId="0" xfId="0" applyNumberFormat="1" applyFont="1" applyBorder="1"/>
    <xf numFmtId="0" fontId="22" fillId="0" borderId="0" xfId="0" applyFont="1" applyAlignment="1">
      <alignment horizontal="center"/>
    </xf>
    <xf numFmtId="39" fontId="20" fillId="0" borderId="21" xfId="0" applyNumberFormat="1" applyFont="1" applyBorder="1" applyAlignment="1"/>
    <xf numFmtId="39" fontId="20" fillId="0" borderId="22" xfId="0" applyNumberFormat="1" applyFont="1" applyBorder="1" applyAlignment="1"/>
    <xf numFmtId="49" fontId="6" fillId="0" borderId="0" xfId="0" applyNumberFormat="1" applyFont="1" applyBorder="1"/>
    <xf numFmtId="49" fontId="6" fillId="0" borderId="0" xfId="0" applyNumberFormat="1" applyFont="1" applyAlignment="1"/>
    <xf numFmtId="49" fontId="6" fillId="0" borderId="0" xfId="0" applyNumberFormat="1" applyFont="1" applyAlignment="1">
      <alignment wrapText="1"/>
    </xf>
    <xf numFmtId="49" fontId="20" fillId="0" borderId="0" xfId="0" applyNumberFormat="1" applyFont="1" applyBorder="1" applyAlignment="1">
      <alignment horizontal="left"/>
    </xf>
    <xf numFmtId="39" fontId="20" fillId="0" borderId="0" xfId="0" applyNumberFormat="1" applyFont="1" applyBorder="1" applyAlignment="1"/>
    <xf numFmtId="0" fontId="0" fillId="0" borderId="0" xfId="0" applyBorder="1"/>
    <xf numFmtId="49" fontId="20" fillId="0" borderId="0" xfId="0" applyNumberFormat="1" applyFont="1" applyBorder="1" applyAlignment="1">
      <alignment horizontal="center"/>
    </xf>
    <xf numFmtId="43" fontId="23" fillId="0" borderId="0" xfId="0" applyNumberFormat="1" applyFont="1"/>
    <xf numFmtId="0" fontId="23" fillId="0" borderId="0" xfId="0" applyFont="1"/>
    <xf numFmtId="0" fontId="0" fillId="0" borderId="12" xfId="0" applyBorder="1" applyAlignment="1">
      <alignment horizontal="center"/>
    </xf>
    <xf numFmtId="41" fontId="5" fillId="0" borderId="12" xfId="0" applyNumberFormat="1" applyFont="1" applyBorder="1" applyAlignment="1"/>
    <xf numFmtId="41" fontId="5" fillId="0" borderId="16" xfId="0" applyNumberFormat="1" applyFont="1" applyBorder="1" applyAlignment="1"/>
    <xf numFmtId="4" fontId="5" fillId="0" borderId="16" xfId="0" applyNumberFormat="1" applyFont="1" applyFill="1" applyBorder="1" applyAlignment="1"/>
    <xf numFmtId="41" fontId="4" fillId="0" borderId="12" xfId="0" applyNumberFormat="1" applyFont="1" applyBorder="1" applyAlignment="1"/>
    <xf numFmtId="42" fontId="17" fillId="0" borderId="13" xfId="0" applyNumberFormat="1" applyFont="1" applyBorder="1" applyAlignment="1"/>
    <xf numFmtId="4" fontId="4" fillId="0" borderId="16" xfId="0" applyNumberFormat="1" applyFont="1" applyFill="1" applyBorder="1" applyAlignment="1"/>
    <xf numFmtId="4" fontId="24" fillId="0" borderId="23" xfId="0" applyNumberFormat="1" applyFont="1" applyBorder="1"/>
    <xf numFmtId="43" fontId="11" fillId="0" borderId="12" xfId="0" applyNumberFormat="1" applyFont="1" applyFill="1" applyBorder="1" applyAlignment="1"/>
    <xf numFmtId="0" fontId="0" fillId="0" borderId="12" xfId="0" applyBorder="1" applyAlignment="1">
      <alignment horizontal="center"/>
    </xf>
    <xf numFmtId="1" fontId="10" fillId="0" borderId="0" xfId="0" applyNumberFormat="1" applyFont="1" applyAlignment="1"/>
    <xf numFmtId="42" fontId="11" fillId="0" borderId="9" xfId="0" applyNumberFormat="1" applyFont="1" applyBorder="1" applyAlignment="1"/>
    <xf numFmtId="42" fontId="11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43" fontId="11" fillId="0" borderId="16" xfId="0" applyNumberFormat="1" applyFont="1" applyBorder="1" applyAlignment="1">
      <alignment vertical="center"/>
    </xf>
    <xf numFmtId="4" fontId="22" fillId="0" borderId="0" xfId="0" applyNumberFormat="1" applyFont="1"/>
    <xf numFmtId="4" fontId="0" fillId="0" borderId="5" xfId="0" applyNumberFormat="1" applyBorder="1"/>
    <xf numFmtId="0" fontId="3" fillId="0" borderId="0" xfId="1" applyFont="1" applyFill="1" applyBorder="1" applyAlignment="1">
      <alignment horizontal="center" wrapText="1"/>
    </xf>
    <xf numFmtId="0" fontId="0" fillId="0" borderId="0" xfId="0" applyFill="1" applyBorder="1"/>
    <xf numFmtId="43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1" fillId="0" borderId="0" xfId="1" applyFill="1" applyBorder="1" applyAlignment="1">
      <alignment wrapText="1"/>
    </xf>
    <xf numFmtId="2" fontId="2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4" fillId="0" borderId="0" xfId="0" applyFont="1"/>
    <xf numFmtId="164" fontId="10" fillId="0" borderId="8" xfId="0" applyNumberFormat="1" applyFont="1" applyFill="1" applyBorder="1" applyAlignment="1"/>
    <xf numFmtId="42" fontId="17" fillId="0" borderId="9" xfId="0" applyNumberFormat="1" applyFont="1" applyFill="1" applyBorder="1" applyAlignment="1"/>
    <xf numFmtId="49" fontId="6" fillId="0" borderId="4" xfId="0" applyNumberFormat="1" applyFont="1" applyBorder="1"/>
    <xf numFmtId="49" fontId="6" fillId="0" borderId="6" xfId="0" applyNumberFormat="1" applyFont="1" applyBorder="1" applyAlignment="1">
      <alignment horizontal="center"/>
    </xf>
    <xf numFmtId="49" fontId="5" fillId="0" borderId="7" xfId="0" applyNumberFormat="1" applyFont="1" applyBorder="1"/>
    <xf numFmtId="49" fontId="10" fillId="0" borderId="7" xfId="0" applyNumberFormat="1" applyFont="1" applyBorder="1"/>
    <xf numFmtId="49" fontId="11" fillId="0" borderId="9" xfId="0" applyNumberFormat="1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49" fontId="13" fillId="0" borderId="7" xfId="0" applyNumberFormat="1" applyFont="1" applyFill="1" applyBorder="1"/>
    <xf numFmtId="49" fontId="10" fillId="0" borderId="7" xfId="0" applyNumberFormat="1" applyFont="1" applyBorder="1" applyAlignment="1"/>
    <xf numFmtId="49" fontId="14" fillId="0" borderId="9" xfId="0" applyNumberFormat="1" applyFont="1" applyBorder="1"/>
    <xf numFmtId="49" fontId="11" fillId="0" borderId="13" xfId="0" applyNumberFormat="1" applyFont="1" applyBorder="1"/>
    <xf numFmtId="0" fontId="2" fillId="0" borderId="1" xfId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 wrapText="1"/>
    </xf>
    <xf numFmtId="164" fontId="9" fillId="0" borderId="10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/>
    </xf>
    <xf numFmtId="9" fontId="7" fillId="0" borderId="3" xfId="0" applyNumberFormat="1" applyFont="1" applyFill="1" applyBorder="1" applyAlignment="1">
      <alignment horizontal="center" wrapText="1"/>
    </xf>
    <xf numFmtId="9" fontId="8" fillId="0" borderId="5" xfId="0" applyNumberFormat="1" applyFont="1" applyFill="1" applyBorder="1" applyAlignment="1">
      <alignment horizontal="center" wrapText="1"/>
    </xf>
    <xf numFmtId="49" fontId="20" fillId="0" borderId="21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Normal 2" xfId="1"/>
  </cellStyles>
  <dxfs count="12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u val="none"/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u val="none"/>
        <color auto="1"/>
      </font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u val="none"/>
        <color auto="1"/>
      </font>
      <fill>
        <patternFill patternType="solid"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304800</xdr:rowOff>
    </xdr:from>
    <xdr:to>
      <xdr:col>3</xdr:col>
      <xdr:colOff>247650</xdr:colOff>
      <xdr:row>4</xdr:row>
      <xdr:rowOff>247650</xdr:rowOff>
    </xdr:to>
    <xdr:cxnSp macro="">
      <xdr:nvCxnSpPr>
        <xdr:cNvPr id="6" name="Straight Arrow Connector 5"/>
        <xdr:cNvCxnSpPr/>
      </xdr:nvCxnSpPr>
      <xdr:spPr>
        <a:xfrm>
          <a:off x="3552825" y="1409700"/>
          <a:ext cx="447675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19053</xdr:colOff>
      <xdr:row>9</xdr:row>
      <xdr:rowOff>85725</xdr:rowOff>
    </xdr:from>
    <xdr:to>
      <xdr:col>19</xdr:col>
      <xdr:colOff>219075</xdr:colOff>
      <xdr:row>10</xdr:row>
      <xdr:rowOff>28575</xdr:rowOff>
    </xdr:to>
    <xdr:cxnSp macro="">
      <xdr:nvCxnSpPr>
        <xdr:cNvPr id="3" name="Straight Arrow Connector 2"/>
        <xdr:cNvCxnSpPr/>
      </xdr:nvCxnSpPr>
      <xdr:spPr>
        <a:xfrm flipH="1" flipV="1">
          <a:off x="6267453" y="1971675"/>
          <a:ext cx="447672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114300</xdr:colOff>
      <xdr:row>41</xdr:row>
      <xdr:rowOff>121920</xdr:rowOff>
    </xdr:from>
    <xdr:to>
      <xdr:col>22</xdr:col>
      <xdr:colOff>323850</xdr:colOff>
      <xdr:row>42</xdr:row>
      <xdr:rowOff>49530</xdr:rowOff>
    </xdr:to>
    <xdr:cxnSp macro="">
      <xdr:nvCxnSpPr>
        <xdr:cNvPr id="4" name="Straight Arrow Connector 3"/>
        <xdr:cNvCxnSpPr/>
      </xdr:nvCxnSpPr>
      <xdr:spPr>
        <a:xfrm flipH="1" flipV="1">
          <a:off x="11049000" y="8610600"/>
          <a:ext cx="461010" cy="1562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15240</xdr:colOff>
      <xdr:row>42</xdr:row>
      <xdr:rowOff>152400</xdr:rowOff>
    </xdr:from>
    <xdr:to>
      <xdr:col>19</xdr:col>
      <xdr:colOff>224790</xdr:colOff>
      <xdr:row>43</xdr:row>
      <xdr:rowOff>133350</xdr:rowOff>
    </xdr:to>
    <xdr:cxnSp macro="">
      <xdr:nvCxnSpPr>
        <xdr:cNvPr id="8" name="Straight Arrow Connector 7"/>
        <xdr:cNvCxnSpPr/>
      </xdr:nvCxnSpPr>
      <xdr:spPr>
        <a:xfrm flipH="1" flipV="1">
          <a:off x="8625840" y="8869680"/>
          <a:ext cx="46101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55245</xdr:colOff>
      <xdr:row>36</xdr:row>
      <xdr:rowOff>142875</xdr:rowOff>
    </xdr:from>
    <xdr:to>
      <xdr:col>19</xdr:col>
      <xdr:colOff>379095</xdr:colOff>
      <xdr:row>37</xdr:row>
      <xdr:rowOff>66675</xdr:rowOff>
    </xdr:to>
    <xdr:cxnSp macro="">
      <xdr:nvCxnSpPr>
        <xdr:cNvPr id="2" name="Straight Arrow Connector 1"/>
        <xdr:cNvCxnSpPr/>
      </xdr:nvCxnSpPr>
      <xdr:spPr>
        <a:xfrm flipH="1" flipV="1">
          <a:off x="7240905" y="7450455"/>
          <a:ext cx="575310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</xdr:colOff>
      <xdr:row>8</xdr:row>
      <xdr:rowOff>95251</xdr:rowOff>
    </xdr:from>
    <xdr:to>
      <xdr:col>19</xdr:col>
      <xdr:colOff>167640</xdr:colOff>
      <xdr:row>9</xdr:row>
      <xdr:rowOff>0</xdr:rowOff>
    </xdr:to>
    <xdr:cxnSp macro="">
      <xdr:nvCxnSpPr>
        <xdr:cNvPr id="8" name="Straight Arrow Connector 7"/>
        <xdr:cNvCxnSpPr/>
      </xdr:nvCxnSpPr>
      <xdr:spPr>
        <a:xfrm flipH="1" flipV="1">
          <a:off x="8101965" y="1725931"/>
          <a:ext cx="485775" cy="1028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47626</xdr:colOff>
      <xdr:row>36</xdr:row>
      <xdr:rowOff>190501</xdr:rowOff>
    </xdr:from>
    <xdr:to>
      <xdr:col>19</xdr:col>
      <xdr:colOff>133350</xdr:colOff>
      <xdr:row>37</xdr:row>
      <xdr:rowOff>123825</xdr:rowOff>
    </xdr:to>
    <xdr:cxnSp macro="">
      <xdr:nvCxnSpPr>
        <xdr:cNvPr id="12" name="Straight Arrow Connector 11"/>
        <xdr:cNvCxnSpPr/>
      </xdr:nvCxnSpPr>
      <xdr:spPr>
        <a:xfrm flipH="1" flipV="1">
          <a:off x="6781801" y="7448551"/>
          <a:ext cx="400049" cy="1809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990600</xdr:colOff>
      <xdr:row>10</xdr:row>
      <xdr:rowOff>91442</xdr:rowOff>
    </xdr:from>
    <xdr:to>
      <xdr:col>19</xdr:col>
      <xdr:colOff>160020</xdr:colOff>
      <xdr:row>10</xdr:row>
      <xdr:rowOff>175260</xdr:rowOff>
    </xdr:to>
    <xdr:cxnSp macro="">
      <xdr:nvCxnSpPr>
        <xdr:cNvPr id="13" name="Straight Arrow Connector 12"/>
        <xdr:cNvCxnSpPr/>
      </xdr:nvCxnSpPr>
      <xdr:spPr>
        <a:xfrm flipH="1" flipV="1">
          <a:off x="8077200" y="2316482"/>
          <a:ext cx="502920" cy="8381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68580</xdr:colOff>
      <xdr:row>35</xdr:row>
      <xdr:rowOff>106680</xdr:rowOff>
    </xdr:from>
    <xdr:to>
      <xdr:col>21</xdr:col>
      <xdr:colOff>365760</xdr:colOff>
      <xdr:row>35</xdr:row>
      <xdr:rowOff>205740</xdr:rowOff>
    </xdr:to>
    <xdr:cxnSp macro="">
      <xdr:nvCxnSpPr>
        <xdr:cNvPr id="14" name="Straight Arrow Connector 13"/>
        <xdr:cNvCxnSpPr/>
      </xdr:nvCxnSpPr>
      <xdr:spPr>
        <a:xfrm flipH="1" flipV="1">
          <a:off x="10218420" y="7170420"/>
          <a:ext cx="297180" cy="990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</xdr:colOff>
      <xdr:row>8</xdr:row>
      <xdr:rowOff>160021</xdr:rowOff>
    </xdr:from>
    <xdr:to>
      <xdr:col>8</xdr:col>
      <xdr:colOff>426720</xdr:colOff>
      <xdr:row>9</xdr:row>
      <xdr:rowOff>68580</xdr:rowOff>
    </xdr:to>
    <xdr:cxnSp macro="">
      <xdr:nvCxnSpPr>
        <xdr:cNvPr id="6" name="Straight Arrow Connector 5"/>
        <xdr:cNvCxnSpPr/>
      </xdr:nvCxnSpPr>
      <xdr:spPr>
        <a:xfrm flipH="1" flipV="1">
          <a:off x="5768340" y="1790701"/>
          <a:ext cx="381000" cy="1066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22860</xdr:colOff>
      <xdr:row>8</xdr:row>
      <xdr:rowOff>160020</xdr:rowOff>
    </xdr:from>
    <xdr:to>
      <xdr:col>17</xdr:col>
      <xdr:colOff>508635</xdr:colOff>
      <xdr:row>9</xdr:row>
      <xdr:rowOff>64769</xdr:rowOff>
    </xdr:to>
    <xdr:cxnSp macro="">
      <xdr:nvCxnSpPr>
        <xdr:cNvPr id="7" name="Straight Arrow Connector 6"/>
        <xdr:cNvCxnSpPr/>
      </xdr:nvCxnSpPr>
      <xdr:spPr>
        <a:xfrm flipH="1" flipV="1">
          <a:off x="6652260" y="1790700"/>
          <a:ext cx="485775" cy="1028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76201</xdr:rowOff>
    </xdr:from>
    <xdr:to>
      <xdr:col>8</xdr:col>
      <xdr:colOff>320040</xdr:colOff>
      <xdr:row>10</xdr:row>
      <xdr:rowOff>190500</xdr:rowOff>
    </xdr:to>
    <xdr:cxnSp macro="">
      <xdr:nvCxnSpPr>
        <xdr:cNvPr id="9" name="Straight Arrow Connector 8"/>
        <xdr:cNvCxnSpPr/>
      </xdr:nvCxnSpPr>
      <xdr:spPr>
        <a:xfrm flipH="1" flipV="1">
          <a:off x="5722620" y="2103121"/>
          <a:ext cx="320040" cy="114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861060</xdr:colOff>
      <xdr:row>10</xdr:row>
      <xdr:rowOff>114300</xdr:rowOff>
    </xdr:from>
    <xdr:to>
      <xdr:col>17</xdr:col>
      <xdr:colOff>440055</xdr:colOff>
      <xdr:row>11</xdr:row>
      <xdr:rowOff>19049</xdr:rowOff>
    </xdr:to>
    <xdr:cxnSp macro="">
      <xdr:nvCxnSpPr>
        <xdr:cNvPr id="11" name="Straight Arrow Connector 10"/>
        <xdr:cNvCxnSpPr/>
      </xdr:nvCxnSpPr>
      <xdr:spPr>
        <a:xfrm flipH="1" flipV="1">
          <a:off x="6583680" y="2141220"/>
          <a:ext cx="485775" cy="1028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876302</xdr:colOff>
      <xdr:row>36</xdr:row>
      <xdr:rowOff>114302</xdr:rowOff>
    </xdr:from>
    <xdr:to>
      <xdr:col>17</xdr:col>
      <xdr:colOff>320040</xdr:colOff>
      <xdr:row>37</xdr:row>
      <xdr:rowOff>91440</xdr:rowOff>
    </xdr:to>
    <xdr:cxnSp macro="">
      <xdr:nvCxnSpPr>
        <xdr:cNvPr id="15" name="Straight Arrow Connector 14"/>
        <xdr:cNvCxnSpPr/>
      </xdr:nvCxnSpPr>
      <xdr:spPr>
        <a:xfrm flipH="1" flipV="1">
          <a:off x="7505702" y="7406642"/>
          <a:ext cx="350518" cy="2057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838201</xdr:colOff>
      <xdr:row>36</xdr:row>
      <xdr:rowOff>182881</xdr:rowOff>
    </xdr:from>
    <xdr:to>
      <xdr:col>8</xdr:col>
      <xdr:colOff>342900</xdr:colOff>
      <xdr:row>37</xdr:row>
      <xdr:rowOff>144780</xdr:rowOff>
    </xdr:to>
    <xdr:cxnSp macro="">
      <xdr:nvCxnSpPr>
        <xdr:cNvPr id="16" name="Straight Arrow Connector 15"/>
        <xdr:cNvCxnSpPr/>
      </xdr:nvCxnSpPr>
      <xdr:spPr>
        <a:xfrm flipH="1" flipV="1">
          <a:off x="6621781" y="7475221"/>
          <a:ext cx="350519" cy="1904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23</xdr:row>
      <xdr:rowOff>104776</xdr:rowOff>
    </xdr:from>
    <xdr:to>
      <xdr:col>7</xdr:col>
      <xdr:colOff>556260</xdr:colOff>
      <xdr:row>24</xdr:row>
      <xdr:rowOff>45720</xdr:rowOff>
    </xdr:to>
    <xdr:cxnSp macro="">
      <xdr:nvCxnSpPr>
        <xdr:cNvPr id="2" name="Straight Arrow Connector 1"/>
        <xdr:cNvCxnSpPr/>
      </xdr:nvCxnSpPr>
      <xdr:spPr>
        <a:xfrm flipH="1" flipV="1">
          <a:off x="4398645" y="3762376"/>
          <a:ext cx="546735" cy="1314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40</xdr:row>
      <xdr:rowOff>66676</xdr:rowOff>
    </xdr:from>
    <xdr:to>
      <xdr:col>7</xdr:col>
      <xdr:colOff>441960</xdr:colOff>
      <xdr:row>41</xdr:row>
      <xdr:rowOff>15240</xdr:rowOff>
    </xdr:to>
    <xdr:cxnSp macro="">
      <xdr:nvCxnSpPr>
        <xdr:cNvPr id="3" name="Straight Arrow Connector 2"/>
        <xdr:cNvCxnSpPr/>
      </xdr:nvCxnSpPr>
      <xdr:spPr>
        <a:xfrm flipH="1" flipV="1">
          <a:off x="4446270" y="6665596"/>
          <a:ext cx="384810" cy="1314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46</xdr:row>
      <xdr:rowOff>85726</xdr:rowOff>
    </xdr:from>
    <xdr:to>
      <xdr:col>11</xdr:col>
      <xdr:colOff>358140</xdr:colOff>
      <xdr:row>46</xdr:row>
      <xdr:rowOff>175260</xdr:rowOff>
    </xdr:to>
    <xdr:cxnSp macro="">
      <xdr:nvCxnSpPr>
        <xdr:cNvPr id="4" name="Straight Arrow Connector 3"/>
        <xdr:cNvCxnSpPr/>
      </xdr:nvCxnSpPr>
      <xdr:spPr>
        <a:xfrm flipH="1" flipV="1">
          <a:off x="7250430" y="7781926"/>
          <a:ext cx="339090" cy="89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47</xdr:row>
      <xdr:rowOff>95250</xdr:rowOff>
    </xdr:from>
    <xdr:to>
      <xdr:col>8</xdr:col>
      <xdr:colOff>314325</xdr:colOff>
      <xdr:row>48</xdr:row>
      <xdr:rowOff>171451</xdr:rowOff>
    </xdr:to>
    <xdr:cxnSp macro="">
      <xdr:nvCxnSpPr>
        <xdr:cNvPr id="2" name="Straight Arrow Connector 1"/>
        <xdr:cNvCxnSpPr/>
      </xdr:nvCxnSpPr>
      <xdr:spPr>
        <a:xfrm flipH="1" flipV="1">
          <a:off x="8477250" y="8839200"/>
          <a:ext cx="304800" cy="2667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9527</xdr:colOff>
      <xdr:row>18</xdr:row>
      <xdr:rowOff>171451</xdr:rowOff>
    </xdr:from>
    <xdr:to>
      <xdr:col>14</xdr:col>
      <xdr:colOff>381000</xdr:colOff>
      <xdr:row>19</xdr:row>
      <xdr:rowOff>123825</xdr:rowOff>
    </xdr:to>
    <xdr:cxnSp macro="">
      <xdr:nvCxnSpPr>
        <xdr:cNvPr id="2" name="Straight Arrow Connector 1"/>
        <xdr:cNvCxnSpPr/>
      </xdr:nvCxnSpPr>
      <xdr:spPr>
        <a:xfrm flipH="1" flipV="1">
          <a:off x="5514977" y="3962401"/>
          <a:ext cx="371473" cy="2000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&amp;%20Finance/FY%202014/June%20FY%202014%20FINAL/June%2030,%202014%20Financial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dmin &amp; Resale"/>
      <sheetName val="Total"/>
      <sheetName val="CC"/>
      <sheetName val="ILP"/>
      <sheetName val="FEF"/>
      <sheetName val="PREP"/>
      <sheetName val="Fit "/>
      <sheetName val="EDU"/>
      <sheetName val="CKF"/>
      <sheetName val="CKF EXP"/>
      <sheetName val="FCFC"/>
      <sheetName val="MMP"/>
      <sheetName val="Admin"/>
      <sheetName val="Resale"/>
      <sheetName val="Balance Sheet"/>
      <sheetName val="Cashflow"/>
      <sheetName val="Fund Balance"/>
    </sheetNames>
    <sheetDataSet>
      <sheetData sheetId="0"/>
      <sheetData sheetId="1">
        <row r="28">
          <cell r="I28"/>
          <cell r="J28"/>
          <cell r="K28"/>
        </row>
      </sheetData>
      <sheetData sheetId="2"/>
      <sheetData sheetId="3">
        <row r="28">
          <cell r="F28"/>
          <cell r="G28"/>
          <cell r="H28"/>
        </row>
      </sheetData>
      <sheetData sheetId="4">
        <row r="28">
          <cell r="F28"/>
          <cell r="G28"/>
          <cell r="H28"/>
        </row>
      </sheetData>
      <sheetData sheetId="5">
        <row r="28">
          <cell r="F28"/>
          <cell r="G28"/>
          <cell r="H28"/>
        </row>
      </sheetData>
      <sheetData sheetId="6">
        <row r="28">
          <cell r="F28"/>
          <cell r="G28"/>
          <cell r="H28"/>
        </row>
      </sheetData>
      <sheetData sheetId="7">
        <row r="28">
          <cell r="F28"/>
          <cell r="G28"/>
          <cell r="H28"/>
        </row>
      </sheetData>
      <sheetData sheetId="8">
        <row r="28">
          <cell r="F28"/>
          <cell r="G28"/>
          <cell r="H28"/>
        </row>
      </sheetData>
      <sheetData sheetId="9">
        <row r="28">
          <cell r="F28"/>
          <cell r="G28"/>
          <cell r="H28"/>
        </row>
      </sheetData>
      <sheetData sheetId="10">
        <row r="28">
          <cell r="F28"/>
          <cell r="G28"/>
          <cell r="H28"/>
        </row>
      </sheetData>
      <sheetData sheetId="11">
        <row r="28">
          <cell r="F28"/>
          <cell r="G28"/>
          <cell r="H28"/>
        </row>
      </sheetData>
      <sheetData sheetId="12">
        <row r="28">
          <cell r="F28"/>
          <cell r="G28"/>
          <cell r="H28"/>
        </row>
      </sheetData>
      <sheetData sheetId="13"/>
      <sheetData sheetId="14">
        <row r="28">
          <cell r="F28"/>
          <cell r="G28"/>
          <cell r="H28"/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D5" sqref="D5"/>
    </sheetView>
  </sheetViews>
  <sheetFormatPr defaultRowHeight="14.4" x14ac:dyDescent="0.3"/>
  <cols>
    <col min="1" max="1" width="4.5546875" customWidth="1"/>
    <col min="2" max="2" width="38.44140625" customWidth="1"/>
    <col min="3" max="3" width="13.33203125" customWidth="1"/>
    <col min="4" max="4" width="25.109375" customWidth="1"/>
    <col min="5" max="5" width="15" customWidth="1"/>
    <col min="7" max="7" width="10.6640625" customWidth="1"/>
    <col min="8" max="9" width="9.109375" customWidth="1"/>
  </cols>
  <sheetData>
    <row r="1" spans="1:9" x14ac:dyDescent="0.3">
      <c r="A1" s="1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2">
        <v>43404</v>
      </c>
      <c r="E2" s="2"/>
      <c r="F2" s="1"/>
      <c r="G2" s="265" t="s">
        <v>1</v>
      </c>
      <c r="H2" s="265"/>
      <c r="I2" s="265"/>
    </row>
    <row r="3" spans="1:9" ht="28.5" customHeight="1" x14ac:dyDescent="0.3">
      <c r="A3" s="1"/>
      <c r="B3" s="3" t="s">
        <v>2</v>
      </c>
      <c r="C3" s="3" t="s">
        <v>3</v>
      </c>
      <c r="D3" s="3" t="s">
        <v>4</v>
      </c>
      <c r="E3" s="3" t="s">
        <v>5</v>
      </c>
      <c r="F3" s="1"/>
      <c r="G3" s="211" t="s">
        <v>6</v>
      </c>
      <c r="H3" s="4" t="s">
        <v>7</v>
      </c>
      <c r="I3" s="5" t="s">
        <v>8</v>
      </c>
    </row>
    <row r="4" spans="1:9" ht="28.5" customHeight="1" x14ac:dyDescent="0.3">
      <c r="A4" s="1"/>
      <c r="B4" s="6" t="s">
        <v>136</v>
      </c>
      <c r="C4" s="7">
        <v>10</v>
      </c>
      <c r="D4" s="210">
        <f>+'Balance Sheet'!G16/'Balance Sheet'!G33</f>
        <v>10.367481222708042</v>
      </c>
      <c r="E4" s="211" t="str">
        <f t="shared" ref="E4:E6" si="0">IF(D4&lt;=I4,"Act Now",IF(D4&gt;=G4,"Good","Monitor"))</f>
        <v>Good</v>
      </c>
      <c r="F4" s="1"/>
      <c r="G4" s="7">
        <v>10</v>
      </c>
      <c r="H4" s="7">
        <v>4</v>
      </c>
      <c r="I4" s="8">
        <v>2</v>
      </c>
    </row>
    <row r="5" spans="1:9" ht="28.5" customHeight="1" x14ac:dyDescent="0.3">
      <c r="A5" s="1"/>
      <c r="B5" s="9" t="s">
        <v>212</v>
      </c>
      <c r="C5" s="8" t="s">
        <v>9</v>
      </c>
      <c r="D5" s="212">
        <f>+('Balance Sheet'!G5+'Balance Sheet'!G6+'Balance Sheet'!G7+'Balance Sheet'!G8+'Balance Sheet'!G10+'Balance Sheet'!G11+'Balance Sheet'!G12)/109829</f>
        <v>4.9010679328774724</v>
      </c>
      <c r="E5" s="211" t="str">
        <f t="shared" si="0"/>
        <v>Good</v>
      </c>
      <c r="F5" s="1"/>
      <c r="G5" s="8">
        <v>3</v>
      </c>
      <c r="H5" s="8">
        <v>2</v>
      </c>
      <c r="I5" s="8">
        <v>1</v>
      </c>
    </row>
    <row r="6" spans="1:9" ht="28.5" customHeight="1" x14ac:dyDescent="0.3">
      <c r="A6" s="1"/>
      <c r="B6" s="6" t="s">
        <v>10</v>
      </c>
      <c r="C6" s="10">
        <v>0.2</v>
      </c>
      <c r="D6" s="213">
        <v>0.193</v>
      </c>
      <c r="E6" s="211" t="str">
        <f t="shared" si="0"/>
        <v>Monitor</v>
      </c>
      <c r="F6" s="1"/>
      <c r="G6" s="10">
        <v>0.2</v>
      </c>
      <c r="H6" s="10">
        <v>0.16</v>
      </c>
      <c r="I6" s="10">
        <v>0.14000000000000001</v>
      </c>
    </row>
    <row r="8" spans="1:9" ht="30" customHeight="1" x14ac:dyDescent="0.3">
      <c r="B8" s="245"/>
      <c r="C8" s="246"/>
      <c r="D8" s="247"/>
      <c r="E8" s="248"/>
    </row>
    <row r="9" spans="1:9" ht="28.05" customHeight="1" x14ac:dyDescent="0.3">
      <c r="B9" s="249"/>
      <c r="C9" s="246"/>
      <c r="D9" s="250"/>
      <c r="E9" s="250"/>
    </row>
    <row r="10" spans="1:9" x14ac:dyDescent="0.3">
      <c r="B10" s="246"/>
      <c r="C10" s="246"/>
      <c r="D10" s="246"/>
      <c r="E10" s="246"/>
    </row>
    <row r="11" spans="1:9" x14ac:dyDescent="0.3">
      <c r="B11" s="251"/>
      <c r="C11" s="246"/>
      <c r="D11" s="250"/>
      <c r="E11" s="250"/>
    </row>
    <row r="12" spans="1:9" x14ac:dyDescent="0.3">
      <c r="B12" s="246"/>
      <c r="C12" s="246"/>
      <c r="D12" s="246"/>
      <c r="E12" s="246"/>
    </row>
  </sheetData>
  <mergeCells count="1">
    <mergeCell ref="G2:I2"/>
  </mergeCells>
  <conditionalFormatting sqref="D4:D6">
    <cfRule type="expression" dxfId="11" priority="49">
      <formula>D4&lt;=I4</formula>
    </cfRule>
    <cfRule type="expression" dxfId="10" priority="50">
      <formula>IF(D4&lt;G4,D4&gt;I4)</formula>
    </cfRule>
    <cfRule type="expression" dxfId="9" priority="51">
      <formula>D4&gt;=G4</formula>
    </cfRule>
  </conditionalFormatting>
  <conditionalFormatting sqref="E4:E6">
    <cfRule type="expression" dxfId="8" priority="46" stopIfTrue="1">
      <formula>IF(D4&gt;=I4,D4&lt;G4)</formula>
    </cfRule>
    <cfRule type="expression" dxfId="7" priority="47" stopIfTrue="1">
      <formula>D4&lt;=I4</formula>
    </cfRule>
    <cfRule type="expression" dxfId="6" priority="48" stopIfTrue="1">
      <formula>D4&gt;=G4</formula>
    </cfRule>
  </conditionalFormatting>
  <conditionalFormatting sqref="D4">
    <cfRule type="expression" dxfId="5" priority="39" stopIfTrue="1">
      <formula>D4&gt;=G4</formula>
    </cfRule>
    <cfRule type="expression" dxfId="4" priority="40">
      <formula>D4&lt;=I4</formula>
    </cfRule>
    <cfRule type="expression" dxfId="3" priority="41">
      <formula>IF(D4&lt;G4,D4&gt;I4)</formula>
    </cfRule>
    <cfRule type="expression" dxfId="2" priority="42">
      <formula>D4&gt;=G4</formula>
    </cfRule>
  </conditionalFormatting>
  <conditionalFormatting sqref="D4">
    <cfRule type="expression" dxfId="1" priority="37">
      <formula>D4&lt;=I4</formula>
    </cfRule>
    <cfRule type="expression" dxfId="0" priority="38">
      <formula>IF(D4&lt;G4,D4&gt;I4)</formula>
    </cfRule>
  </conditionalFormatting>
  <pageMargins left="0.7" right="0.7" top="0.75" bottom="0.75" header="0.3" footer="0.3"/>
  <pageSetup scale="91" orientation="landscape" r:id="rId1"/>
  <headerFooter>
    <oddFooter>&amp;RPage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44"/>
  <sheetViews>
    <sheetView topLeftCell="A22" workbookViewId="0">
      <selection activeCell="F41" sqref="F41"/>
    </sheetView>
  </sheetViews>
  <sheetFormatPr defaultRowHeight="14.4" x14ac:dyDescent="0.3"/>
  <cols>
    <col min="2" max="2" width="43.6640625" customWidth="1"/>
    <col min="5" max="5" width="3.6640625" customWidth="1"/>
    <col min="6" max="6" width="11.77734375" hidden="1" customWidth="1"/>
    <col min="7" max="7" width="12.6640625" customWidth="1"/>
    <col min="8" max="8" width="12.33203125" customWidth="1"/>
    <col min="9" max="9" width="13.88671875" customWidth="1"/>
    <col min="10" max="17" width="7.77734375" hidden="1" customWidth="1"/>
    <col min="18" max="18" width="16.88671875" customWidth="1"/>
    <col min="19" max="19" width="3.6640625" customWidth="1"/>
    <col min="20" max="20" width="17.109375" customWidth="1"/>
    <col min="21" max="21" width="13.109375" bestFit="1" customWidth="1"/>
    <col min="22" max="22" width="3.6640625" customWidth="1"/>
    <col min="23" max="23" width="53.88671875" bestFit="1" customWidth="1"/>
  </cols>
  <sheetData>
    <row r="4" spans="1:23" ht="21.6" thickBot="1" x14ac:dyDescent="0.45">
      <c r="A4" s="266" t="s">
        <v>61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</row>
    <row r="5" spans="1:23" ht="25.05" customHeight="1" x14ac:dyDescent="0.3">
      <c r="A5" s="81"/>
      <c r="B5" s="82"/>
      <c r="C5" s="82"/>
      <c r="D5" s="82"/>
      <c r="E5" s="83"/>
      <c r="F5" s="84" t="s">
        <v>11</v>
      </c>
      <c r="G5" s="84" t="s">
        <v>12</v>
      </c>
      <c r="H5" s="84" t="s">
        <v>13</v>
      </c>
      <c r="I5" s="84" t="s">
        <v>14</v>
      </c>
      <c r="J5" s="84" t="s">
        <v>15</v>
      </c>
      <c r="K5" s="84" t="s">
        <v>16</v>
      </c>
      <c r="L5" s="84" t="s">
        <v>17</v>
      </c>
      <c r="M5" s="84" t="s">
        <v>18</v>
      </c>
      <c r="N5" s="84" t="s">
        <v>19</v>
      </c>
      <c r="O5" s="84" t="s">
        <v>20</v>
      </c>
      <c r="P5" s="84" t="s">
        <v>21</v>
      </c>
      <c r="Q5" s="84" t="s">
        <v>22</v>
      </c>
      <c r="R5" s="152" t="s">
        <v>23</v>
      </c>
      <c r="S5" s="84"/>
      <c r="T5" s="85" t="s">
        <v>196</v>
      </c>
      <c r="U5" s="267" t="s">
        <v>25</v>
      </c>
      <c r="V5" s="86"/>
      <c r="W5" s="87"/>
    </row>
    <row r="6" spans="1:23" ht="25.05" customHeight="1" thickBot="1" x14ac:dyDescent="0.35">
      <c r="A6" s="88"/>
      <c r="B6" s="89"/>
      <c r="C6" s="89"/>
      <c r="D6" s="89"/>
      <c r="E6" s="90"/>
      <c r="F6" s="91" t="s">
        <v>203</v>
      </c>
      <c r="G6" s="91" t="s">
        <v>203</v>
      </c>
      <c r="H6" s="91" t="s">
        <v>203</v>
      </c>
      <c r="I6" s="91" t="s">
        <v>203</v>
      </c>
      <c r="J6" s="91" t="s">
        <v>184</v>
      </c>
      <c r="K6" s="91" t="s">
        <v>184</v>
      </c>
      <c r="L6" s="91" t="s">
        <v>184</v>
      </c>
      <c r="M6" s="91" t="s">
        <v>184</v>
      </c>
      <c r="N6" s="91" t="s">
        <v>184</v>
      </c>
      <c r="O6" s="91" t="s">
        <v>184</v>
      </c>
      <c r="P6" s="91" t="s">
        <v>184</v>
      </c>
      <c r="Q6" s="91" t="s">
        <v>184</v>
      </c>
      <c r="R6" s="153" t="s">
        <v>203</v>
      </c>
      <c r="S6" s="91"/>
      <c r="T6" s="92" t="s">
        <v>26</v>
      </c>
      <c r="U6" s="268"/>
      <c r="V6" s="93"/>
      <c r="W6" s="94" t="s">
        <v>27</v>
      </c>
    </row>
    <row r="7" spans="1:23" ht="17.399999999999999" x14ac:dyDescent="0.3">
      <c r="A7" s="29" t="s">
        <v>28</v>
      </c>
      <c r="B7" s="30"/>
      <c r="C7" s="30"/>
      <c r="D7" s="30"/>
      <c r="E7" s="27"/>
      <c r="F7" s="66"/>
      <c r="G7" s="66"/>
      <c r="H7" s="66"/>
      <c r="I7" s="34"/>
      <c r="J7" s="34"/>
      <c r="K7" s="34"/>
      <c r="L7" s="34"/>
      <c r="M7" s="34"/>
      <c r="N7" s="34"/>
      <c r="O7" s="34"/>
      <c r="P7" s="34"/>
      <c r="Q7" s="34"/>
      <c r="R7" s="154"/>
      <c r="S7" s="27"/>
      <c r="T7" s="61"/>
      <c r="U7" s="61"/>
      <c r="V7" s="95"/>
      <c r="W7" s="39"/>
    </row>
    <row r="8" spans="1:23" ht="15.75" customHeight="1" x14ac:dyDescent="0.3">
      <c r="A8" s="30"/>
      <c r="B8" s="36" t="s">
        <v>29</v>
      </c>
      <c r="C8" s="36"/>
      <c r="D8" s="36"/>
      <c r="E8" s="27"/>
      <c r="F8" s="66">
        <v>9.48</v>
      </c>
      <c r="G8" s="66">
        <v>10.15</v>
      </c>
      <c r="H8" s="66">
        <v>11.5</v>
      </c>
      <c r="I8" s="34">
        <v>59.65</v>
      </c>
      <c r="J8" s="34"/>
      <c r="K8" s="34"/>
      <c r="L8" s="34"/>
      <c r="M8" s="34"/>
      <c r="N8" s="34"/>
      <c r="O8" s="34"/>
      <c r="P8" s="34"/>
      <c r="Q8" s="34"/>
      <c r="R8" s="154">
        <f t="shared" ref="R8:R17" si="0">SUM(F8:Q8)</f>
        <v>90.78</v>
      </c>
      <c r="S8" s="27"/>
      <c r="T8" s="96">
        <v>300</v>
      </c>
      <c r="U8" s="97">
        <f t="shared" ref="U8:U15" si="1">R8/T8</f>
        <v>0.30259999999999998</v>
      </c>
      <c r="V8" s="95"/>
      <c r="W8" s="39" t="s">
        <v>31</v>
      </c>
    </row>
    <row r="9" spans="1:23" ht="15.75" customHeight="1" x14ac:dyDescent="0.3">
      <c r="A9" s="30"/>
      <c r="B9" s="36" t="s">
        <v>30</v>
      </c>
      <c r="C9" s="36"/>
      <c r="D9" s="36"/>
      <c r="E9" s="27"/>
      <c r="F9" s="66">
        <v>94.08</v>
      </c>
      <c r="G9" s="66">
        <v>99.37</v>
      </c>
      <c r="H9" s="66">
        <v>243.73</v>
      </c>
      <c r="I9" s="34">
        <v>92.05</v>
      </c>
      <c r="J9" s="34"/>
      <c r="K9" s="34"/>
      <c r="L9" s="34"/>
      <c r="M9" s="34"/>
      <c r="N9" s="34"/>
      <c r="O9" s="34"/>
      <c r="P9" s="34"/>
      <c r="Q9" s="34"/>
      <c r="R9" s="154">
        <f>SUM(F9:Q9)</f>
        <v>529.2299999999999</v>
      </c>
      <c r="S9" s="27"/>
      <c r="T9" s="96">
        <v>1500</v>
      </c>
      <c r="U9" s="97">
        <f t="shared" si="1"/>
        <v>0.35281999999999991</v>
      </c>
      <c r="V9" s="95"/>
      <c r="W9" s="39" t="s">
        <v>124</v>
      </c>
    </row>
    <row r="10" spans="1:23" ht="15.75" customHeight="1" x14ac:dyDescent="0.3">
      <c r="A10" s="30"/>
      <c r="B10" s="36" t="s">
        <v>32</v>
      </c>
      <c r="C10" s="36"/>
      <c r="D10" s="36"/>
      <c r="E10" s="27"/>
      <c r="F10" s="66">
        <v>5933.25</v>
      </c>
      <c r="G10" s="66">
        <v>7774.47</v>
      </c>
      <c r="H10" s="66">
        <v>4654.6499999999996</v>
      </c>
      <c r="I10" s="34">
        <v>39589.26</v>
      </c>
      <c r="J10" s="34"/>
      <c r="K10" s="34"/>
      <c r="L10" s="34"/>
      <c r="M10" s="34"/>
      <c r="N10" s="34"/>
      <c r="O10" s="34"/>
      <c r="P10" s="34"/>
      <c r="Q10" s="34"/>
      <c r="R10" s="154">
        <f t="shared" si="0"/>
        <v>57951.630000000005</v>
      </c>
      <c r="S10" s="27"/>
      <c r="T10" s="96">
        <v>128500</v>
      </c>
      <c r="U10" s="97">
        <f>R10/T10</f>
        <v>0.45098544747081715</v>
      </c>
      <c r="V10" s="95"/>
      <c r="W10" s="39" t="s">
        <v>33</v>
      </c>
    </row>
    <row r="11" spans="1:23" ht="15.75" customHeight="1" x14ac:dyDescent="0.3">
      <c r="A11" s="30"/>
      <c r="B11" s="36" t="s">
        <v>34</v>
      </c>
      <c r="C11" s="36"/>
      <c r="D11" s="36"/>
      <c r="E11" s="27"/>
      <c r="F11" s="66">
        <v>76304.12</v>
      </c>
      <c r="G11" s="66">
        <v>37455.410000000003</v>
      </c>
      <c r="H11" s="66">
        <v>47158.61</v>
      </c>
      <c r="I11" s="34">
        <v>125190.14</v>
      </c>
      <c r="J11" s="34"/>
      <c r="K11" s="34"/>
      <c r="L11" s="34"/>
      <c r="M11" s="34"/>
      <c r="N11" s="34"/>
      <c r="O11" s="34"/>
      <c r="P11" s="34"/>
      <c r="Q11" s="34"/>
      <c r="R11" s="154">
        <f t="shared" si="0"/>
        <v>286108.28000000003</v>
      </c>
      <c r="S11" s="27"/>
      <c r="T11" s="96">
        <v>782617.15</v>
      </c>
      <c r="U11" s="97">
        <f t="shared" si="1"/>
        <v>0.3655788529551135</v>
      </c>
      <c r="V11" s="95"/>
      <c r="W11" s="63" t="s">
        <v>62</v>
      </c>
    </row>
    <row r="12" spans="1:23" ht="15.75" customHeight="1" x14ac:dyDescent="0.3">
      <c r="A12" s="30"/>
      <c r="B12" s="36" t="s">
        <v>35</v>
      </c>
      <c r="C12" s="36"/>
      <c r="D12" s="36"/>
      <c r="E12" s="27"/>
      <c r="F12" s="66">
        <v>47997.87</v>
      </c>
      <c r="G12" s="66">
        <v>5000</v>
      </c>
      <c r="H12" s="66">
        <v>0</v>
      </c>
      <c r="I12" s="34">
        <v>2180</v>
      </c>
      <c r="J12" s="34"/>
      <c r="K12" s="34"/>
      <c r="L12" s="34"/>
      <c r="M12" s="34"/>
      <c r="N12" s="34"/>
      <c r="O12" s="34"/>
      <c r="P12" s="34"/>
      <c r="Q12" s="34"/>
      <c r="R12" s="154">
        <f t="shared" si="0"/>
        <v>55177.87</v>
      </c>
      <c r="S12" s="27"/>
      <c r="T12" s="96">
        <v>54400</v>
      </c>
      <c r="U12" s="97">
        <f t="shared" si="1"/>
        <v>1.0142990808823531</v>
      </c>
      <c r="V12" s="95"/>
      <c r="W12" s="63" t="s">
        <v>206</v>
      </c>
    </row>
    <row r="13" spans="1:23" ht="15.75" customHeight="1" x14ac:dyDescent="0.3">
      <c r="A13" s="30"/>
      <c r="B13" s="36" t="s">
        <v>63</v>
      </c>
      <c r="C13" s="36"/>
      <c r="D13" s="36"/>
      <c r="E13" s="27"/>
      <c r="F13" s="66">
        <v>14093.26</v>
      </c>
      <c r="G13" s="66"/>
      <c r="H13" s="66">
        <v>29825</v>
      </c>
      <c r="I13" s="34"/>
      <c r="J13" s="34"/>
      <c r="K13" s="34"/>
      <c r="L13" s="34"/>
      <c r="M13" s="34"/>
      <c r="N13" s="34"/>
      <c r="O13" s="34"/>
      <c r="P13" s="34"/>
      <c r="Q13" s="34"/>
      <c r="R13" s="154">
        <f t="shared" si="0"/>
        <v>43918.26</v>
      </c>
      <c r="S13" s="27"/>
      <c r="T13" s="96">
        <v>59650</v>
      </c>
      <c r="U13" s="97">
        <f t="shared" si="1"/>
        <v>0.73626588432523055</v>
      </c>
      <c r="V13" s="95"/>
      <c r="W13" s="98" t="s">
        <v>178</v>
      </c>
    </row>
    <row r="14" spans="1:23" ht="15.75" customHeight="1" x14ac:dyDescent="0.3">
      <c r="A14" s="30"/>
      <c r="B14" s="36" t="s">
        <v>64</v>
      </c>
      <c r="C14" s="36"/>
      <c r="D14" s="36"/>
      <c r="E14" s="27"/>
      <c r="F14" s="66"/>
      <c r="G14" s="66"/>
      <c r="H14" s="66">
        <v>0</v>
      </c>
      <c r="I14" s="34"/>
      <c r="J14" s="34"/>
      <c r="K14" s="34"/>
      <c r="L14" s="34"/>
      <c r="M14" s="34"/>
      <c r="N14" s="34"/>
      <c r="O14" s="34"/>
      <c r="P14" s="34"/>
      <c r="Q14" s="34"/>
      <c r="R14" s="154">
        <f t="shared" si="0"/>
        <v>0</v>
      </c>
      <c r="S14" s="27"/>
      <c r="T14" s="96">
        <v>1600</v>
      </c>
      <c r="U14" s="97">
        <f t="shared" si="1"/>
        <v>0</v>
      </c>
      <c r="V14" s="95"/>
      <c r="W14" s="98" t="s">
        <v>31</v>
      </c>
    </row>
    <row r="15" spans="1:23" ht="15.75" customHeight="1" x14ac:dyDescent="0.3">
      <c r="A15" s="30"/>
      <c r="B15" s="36" t="s">
        <v>204</v>
      </c>
      <c r="C15" s="36"/>
      <c r="D15" s="36"/>
      <c r="E15" s="27"/>
      <c r="F15" s="66"/>
      <c r="G15" s="66">
        <v>3110.58</v>
      </c>
      <c r="H15" s="66">
        <v>3182.86</v>
      </c>
      <c r="I15" s="34">
        <v>3987.87</v>
      </c>
      <c r="J15" s="34"/>
      <c r="K15" s="34"/>
      <c r="L15" s="34"/>
      <c r="M15" s="34"/>
      <c r="N15" s="34"/>
      <c r="O15" s="34"/>
      <c r="P15" s="34"/>
      <c r="Q15" s="34"/>
      <c r="R15" s="154">
        <f t="shared" si="0"/>
        <v>10281.310000000001</v>
      </c>
      <c r="S15" s="27"/>
      <c r="T15" s="96">
        <v>52072</v>
      </c>
      <c r="U15" s="97">
        <f t="shared" si="1"/>
        <v>0.19744411583960672</v>
      </c>
      <c r="V15" s="95"/>
      <c r="W15" s="98"/>
    </row>
    <row r="16" spans="1:23" ht="15.75" customHeight="1" x14ac:dyDescent="0.3">
      <c r="A16" s="30"/>
      <c r="B16" s="36" t="s">
        <v>179</v>
      </c>
      <c r="C16" s="36"/>
      <c r="D16" s="36"/>
      <c r="E16" s="27"/>
      <c r="F16" s="66"/>
      <c r="G16" s="66"/>
      <c r="H16" s="66"/>
      <c r="I16" s="34">
        <v>252</v>
      </c>
      <c r="J16" s="34"/>
      <c r="K16" s="34"/>
      <c r="L16" s="34"/>
      <c r="M16" s="34"/>
      <c r="N16" s="34"/>
      <c r="O16" s="34"/>
      <c r="P16" s="34"/>
      <c r="Q16" s="34"/>
      <c r="R16" s="154">
        <f t="shared" si="0"/>
        <v>252</v>
      </c>
      <c r="S16" s="27"/>
      <c r="T16" s="96"/>
      <c r="U16" s="97"/>
      <c r="V16" s="95"/>
      <c r="W16" s="98"/>
    </row>
    <row r="17" spans="1:23" ht="15.75" customHeight="1" x14ac:dyDescent="0.3">
      <c r="A17" s="30"/>
      <c r="B17" s="36" t="s">
        <v>36</v>
      </c>
      <c r="C17" s="36"/>
      <c r="D17" s="36"/>
      <c r="E17" s="27"/>
      <c r="F17" s="66">
        <v>20972.880000000001</v>
      </c>
      <c r="G17" s="66">
        <v>21125.34</v>
      </c>
      <c r="H17" s="66">
        <v>19598.650000000001</v>
      </c>
      <c r="I17" s="34">
        <v>20562.87</v>
      </c>
      <c r="J17" s="34"/>
      <c r="K17" s="34"/>
      <c r="L17" s="34"/>
      <c r="M17" s="34"/>
      <c r="N17" s="34"/>
      <c r="O17" s="34"/>
      <c r="P17" s="34"/>
      <c r="Q17" s="34"/>
      <c r="R17" s="154">
        <f t="shared" si="0"/>
        <v>82259.740000000005</v>
      </c>
      <c r="S17" s="27"/>
      <c r="T17" s="96">
        <v>260000</v>
      </c>
      <c r="U17" s="97">
        <f>R17/T17</f>
        <v>0.3163836153846154</v>
      </c>
      <c r="V17" s="95"/>
      <c r="W17" s="39" t="s">
        <v>65</v>
      </c>
    </row>
    <row r="18" spans="1:23" ht="18" thickBot="1" x14ac:dyDescent="0.35">
      <c r="A18" s="44" t="s">
        <v>37</v>
      </c>
      <c r="B18" s="101"/>
      <c r="C18" s="101"/>
      <c r="D18" s="101"/>
      <c r="E18" s="102"/>
      <c r="F18" s="145">
        <f t="shared" ref="F18:R18" si="2">SUM(F8:F17)</f>
        <v>165404.94</v>
      </c>
      <c r="G18" s="145">
        <f t="shared" si="2"/>
        <v>74575.320000000007</v>
      </c>
      <c r="H18" s="145">
        <f t="shared" si="2"/>
        <v>104675</v>
      </c>
      <c r="I18" s="103">
        <f t="shared" si="2"/>
        <v>191913.84</v>
      </c>
      <c r="J18" s="103">
        <f t="shared" si="2"/>
        <v>0</v>
      </c>
      <c r="K18" s="103">
        <f t="shared" si="2"/>
        <v>0</v>
      </c>
      <c r="L18" s="103">
        <f t="shared" si="2"/>
        <v>0</v>
      </c>
      <c r="M18" s="103">
        <f t="shared" si="2"/>
        <v>0</v>
      </c>
      <c r="N18" s="103">
        <f t="shared" si="2"/>
        <v>0</v>
      </c>
      <c r="O18" s="103">
        <f t="shared" si="2"/>
        <v>0</v>
      </c>
      <c r="P18" s="103">
        <f t="shared" si="2"/>
        <v>0</v>
      </c>
      <c r="Q18" s="103">
        <f t="shared" si="2"/>
        <v>0</v>
      </c>
      <c r="R18" s="155">
        <f t="shared" si="2"/>
        <v>536569.10000000009</v>
      </c>
      <c r="S18" s="104"/>
      <c r="T18" s="105">
        <f>SUM(T8:T17)</f>
        <v>1340639.1499999999</v>
      </c>
      <c r="U18" s="106">
        <f>R18/T18</f>
        <v>0.40023379893090555</v>
      </c>
      <c r="V18" s="107"/>
      <c r="W18" s="108"/>
    </row>
    <row r="19" spans="1:23" ht="18" thickBot="1" x14ac:dyDescent="0.35">
      <c r="A19" s="109" t="s">
        <v>193</v>
      </c>
      <c r="B19" s="110"/>
      <c r="C19" s="110"/>
      <c r="D19" s="110"/>
      <c r="E19" s="111"/>
      <c r="F19" s="146"/>
      <c r="G19" s="232"/>
      <c r="H19" s="232"/>
      <c r="I19" s="112">
        <f>[1]CC!F28+[1]ILP!F28+[1]FEF!F28+[1]FCFC!F28+[1]EDU!F28+[1]CKF!F28+[1]MMP!F28+[1]Resale!F28+'[1]Admin &amp; Resale'!I28+'[1]Fit '!F28+'[1]CKF EXP'!F28+[1]PREP!F28</f>
        <v>0</v>
      </c>
      <c r="J19" s="113">
        <f>[1]CC!G28+[1]ILP!G28+[1]FEF!G28+[1]FCFC!G28+[1]EDU!G28+[1]CKF!G28+[1]MMP!G28+[1]Resale!G28+'[1]Admin &amp; Resale'!J28+'[1]Fit '!G28+'[1]CKF EXP'!G28+[1]PREP!G28</f>
        <v>0</v>
      </c>
      <c r="K19" s="113">
        <f>[1]CC!H28+[1]ILP!H28+[1]FEF!H28+[1]FCFC!H28+[1]EDU!H28+[1]CKF!H28+[1]MMP!H28+[1]Resale!H28+'[1]Admin &amp; Resale'!K28+'[1]Fit '!H28+'[1]CKF EXP'!H28+[1]PREP!H28</f>
        <v>0</v>
      </c>
      <c r="L19" s="113">
        <v>0</v>
      </c>
      <c r="M19" s="113"/>
      <c r="N19" s="113"/>
      <c r="O19" s="113"/>
      <c r="P19" s="113"/>
      <c r="Q19" s="232">
        <v>0</v>
      </c>
      <c r="R19" s="111">
        <v>0</v>
      </c>
      <c r="S19" s="233"/>
      <c r="T19" s="234">
        <v>0</v>
      </c>
      <c r="U19" s="106" t="s">
        <v>31</v>
      </c>
      <c r="V19" s="115"/>
      <c r="W19" s="116"/>
    </row>
    <row r="20" spans="1:23" ht="17.399999999999999" x14ac:dyDescent="0.3">
      <c r="A20" s="29" t="s">
        <v>38</v>
      </c>
      <c r="B20" s="30"/>
      <c r="C20" s="30"/>
      <c r="D20" s="30"/>
      <c r="E20" s="27"/>
      <c r="F20" s="66"/>
      <c r="G20" s="66"/>
      <c r="H20" s="66"/>
      <c r="I20" s="34"/>
      <c r="J20" s="34"/>
      <c r="K20" s="34"/>
      <c r="L20" s="34"/>
      <c r="M20" s="34"/>
      <c r="N20" s="34"/>
      <c r="O20" s="34"/>
      <c r="P20" s="34"/>
      <c r="Q20" s="34"/>
      <c r="R20" s="154"/>
      <c r="S20" s="27"/>
      <c r="T20" s="61"/>
      <c r="U20" s="61"/>
      <c r="V20" s="95"/>
      <c r="W20" s="39"/>
    </row>
    <row r="21" spans="1:23" ht="15.6" x14ac:dyDescent="0.3">
      <c r="A21" s="30"/>
      <c r="B21" s="117" t="s">
        <v>39</v>
      </c>
      <c r="C21" s="118"/>
      <c r="D21" s="118"/>
      <c r="E21" s="119"/>
      <c r="F21" s="147">
        <f>63464.95-4417.66</f>
        <v>59047.289999999994</v>
      </c>
      <c r="G21" s="147">
        <v>61896.43</v>
      </c>
      <c r="H21" s="147">
        <v>64109.61</v>
      </c>
      <c r="I21" s="120">
        <v>65174.23</v>
      </c>
      <c r="J21" s="120"/>
      <c r="K21" s="120"/>
      <c r="L21" s="120"/>
      <c r="M21" s="120"/>
      <c r="N21" s="120"/>
      <c r="O21" s="120"/>
      <c r="P21" s="120"/>
      <c r="Q21" s="120"/>
      <c r="R21" s="156">
        <f>SUM(F21:Q21)</f>
        <v>250227.56000000003</v>
      </c>
      <c r="S21" s="119"/>
      <c r="T21" s="121">
        <v>856353.89</v>
      </c>
      <c r="U21" s="122">
        <f t="shared" ref="U21:U41" si="3">R21/T21</f>
        <v>0.29220111325704379</v>
      </c>
      <c r="V21" s="123"/>
      <c r="W21" s="124" t="s">
        <v>31</v>
      </c>
    </row>
    <row r="22" spans="1:23" ht="15.75" customHeight="1" x14ac:dyDescent="0.3">
      <c r="A22" s="117"/>
      <c r="B22" s="117" t="s">
        <v>66</v>
      </c>
      <c r="C22" s="117"/>
      <c r="D22" s="125"/>
      <c r="E22" s="119"/>
      <c r="F22" s="147">
        <v>800</v>
      </c>
      <c r="G22" s="147">
        <v>800</v>
      </c>
      <c r="H22" s="147">
        <v>1791.6</v>
      </c>
      <c r="I22" s="120">
        <v>800</v>
      </c>
      <c r="J22" s="120"/>
      <c r="K22" s="120"/>
      <c r="L22" s="120"/>
      <c r="M22" s="120"/>
      <c r="N22" s="120"/>
      <c r="O22" s="120"/>
      <c r="P22" s="120"/>
      <c r="Q22" s="120"/>
      <c r="R22" s="156">
        <f t="shared" ref="R22:R41" si="4">SUM(F22:Q22)</f>
        <v>4191.6000000000004</v>
      </c>
      <c r="S22" s="119"/>
      <c r="T22" s="121">
        <v>11570</v>
      </c>
      <c r="U22" s="122">
        <f t="shared" si="3"/>
        <v>0.36228176318063959</v>
      </c>
      <c r="V22" s="123"/>
      <c r="W22" s="126" t="s">
        <v>31</v>
      </c>
    </row>
    <row r="23" spans="1:23" ht="15.75" customHeight="1" x14ac:dyDescent="0.3">
      <c r="A23" s="117"/>
      <c r="B23" s="117" t="s">
        <v>40</v>
      </c>
      <c r="C23" s="117"/>
      <c r="D23" s="125"/>
      <c r="E23" s="119"/>
      <c r="F23" s="147">
        <v>10179.51</v>
      </c>
      <c r="G23" s="147">
        <v>13301.91</v>
      </c>
      <c r="H23" s="147">
        <v>15968.95</v>
      </c>
      <c r="I23" s="120">
        <v>11672.77</v>
      </c>
      <c r="J23" s="120"/>
      <c r="K23" s="120"/>
      <c r="L23" s="120"/>
      <c r="M23" s="120"/>
      <c r="N23" s="120"/>
      <c r="O23" s="120"/>
      <c r="P23" s="120"/>
      <c r="Q23" s="120"/>
      <c r="R23" s="156">
        <f t="shared" si="4"/>
        <v>51123.14</v>
      </c>
      <c r="S23" s="119"/>
      <c r="T23" s="121">
        <v>148251.78</v>
      </c>
      <c r="U23" s="122">
        <f t="shared" si="3"/>
        <v>0.34483997426540175</v>
      </c>
      <c r="V23" s="123"/>
      <c r="W23" s="126" t="s">
        <v>207</v>
      </c>
    </row>
    <row r="24" spans="1:23" ht="15.75" customHeight="1" x14ac:dyDescent="0.3">
      <c r="A24" s="99"/>
      <c r="B24" s="127" t="s">
        <v>41</v>
      </c>
      <c r="C24" s="128"/>
      <c r="D24" s="128"/>
      <c r="E24" s="129"/>
      <c r="F24" s="148">
        <v>682.34</v>
      </c>
      <c r="G24" s="148">
        <v>689.94</v>
      </c>
      <c r="H24" s="148">
        <v>737.25</v>
      </c>
      <c r="I24" s="120">
        <v>645.62</v>
      </c>
      <c r="J24" s="120"/>
      <c r="K24" s="120"/>
      <c r="L24" s="120"/>
      <c r="M24" s="120"/>
      <c r="N24" s="120"/>
      <c r="O24" s="120"/>
      <c r="P24" s="120"/>
      <c r="Q24" s="120"/>
      <c r="R24" s="156">
        <f t="shared" si="4"/>
        <v>2755.15</v>
      </c>
      <c r="S24" s="119"/>
      <c r="T24" s="121">
        <v>11160</v>
      </c>
      <c r="U24" s="122">
        <f t="shared" si="3"/>
        <v>0.24687724014336918</v>
      </c>
      <c r="V24" s="122"/>
      <c r="W24" s="130"/>
    </row>
    <row r="25" spans="1:23" ht="15.75" customHeight="1" x14ac:dyDescent="0.3">
      <c r="A25" s="99"/>
      <c r="B25" s="127" t="s">
        <v>42</v>
      </c>
      <c r="C25" s="128"/>
      <c r="D25" s="128"/>
      <c r="E25" s="129"/>
      <c r="F25" s="148">
        <v>120.65</v>
      </c>
      <c r="G25" s="148">
        <v>120</v>
      </c>
      <c r="H25" s="148">
        <v>157.25</v>
      </c>
      <c r="I25" s="120">
        <v>60.62</v>
      </c>
      <c r="J25" s="120"/>
      <c r="K25" s="120"/>
      <c r="L25" s="120"/>
      <c r="M25" s="120"/>
      <c r="N25" s="120"/>
      <c r="O25" s="120"/>
      <c r="P25" s="120"/>
      <c r="Q25" s="120"/>
      <c r="R25" s="156">
        <f t="shared" si="4"/>
        <v>458.52</v>
      </c>
      <c r="S25" s="119"/>
      <c r="T25" s="121">
        <v>1450</v>
      </c>
      <c r="U25" s="122">
        <f t="shared" si="3"/>
        <v>0.31622068965517242</v>
      </c>
      <c r="V25" s="122"/>
      <c r="W25" s="130"/>
    </row>
    <row r="26" spans="1:23" ht="15.75" customHeight="1" x14ac:dyDescent="0.3">
      <c r="A26" s="99"/>
      <c r="B26" s="127" t="s">
        <v>43</v>
      </c>
      <c r="C26" s="128"/>
      <c r="D26" s="128"/>
      <c r="E26" s="129"/>
      <c r="F26" s="148">
        <v>7534.66</v>
      </c>
      <c r="G26" s="148">
        <v>7528.52</v>
      </c>
      <c r="H26" s="148">
        <v>7455.68</v>
      </c>
      <c r="I26" s="120">
        <v>7786.36</v>
      </c>
      <c r="J26" s="120"/>
      <c r="K26" s="120"/>
      <c r="L26" s="120"/>
      <c r="M26" s="120"/>
      <c r="N26" s="120"/>
      <c r="O26" s="120"/>
      <c r="P26" s="120"/>
      <c r="Q26" s="120"/>
      <c r="R26" s="156">
        <f t="shared" si="4"/>
        <v>30305.22</v>
      </c>
      <c r="S26" s="119"/>
      <c r="T26" s="121">
        <v>95532</v>
      </c>
      <c r="U26" s="122">
        <f t="shared" si="3"/>
        <v>0.31722585102374073</v>
      </c>
      <c r="V26" s="122"/>
      <c r="W26" s="130"/>
    </row>
    <row r="27" spans="1:23" ht="15.75" customHeight="1" x14ac:dyDescent="0.3">
      <c r="A27" s="99"/>
      <c r="B27" s="127" t="s">
        <v>44</v>
      </c>
      <c r="C27" s="128"/>
      <c r="D27" s="128"/>
      <c r="E27" s="129"/>
      <c r="F27" s="148">
        <v>413.82</v>
      </c>
      <c r="G27" s="148">
        <v>1307.73</v>
      </c>
      <c r="H27" s="148">
        <v>359.33</v>
      </c>
      <c r="I27" s="120">
        <v>457.01</v>
      </c>
      <c r="J27" s="120"/>
      <c r="K27" s="120"/>
      <c r="L27" s="120"/>
      <c r="M27" s="120"/>
      <c r="N27" s="120"/>
      <c r="O27" s="120"/>
      <c r="P27" s="120"/>
      <c r="Q27" s="120"/>
      <c r="R27" s="156">
        <f t="shared" si="4"/>
        <v>2537.8900000000003</v>
      </c>
      <c r="S27" s="119"/>
      <c r="T27" s="121">
        <v>9195</v>
      </c>
      <c r="U27" s="122">
        <f t="shared" si="3"/>
        <v>0.27600761283306147</v>
      </c>
      <c r="V27" s="122"/>
      <c r="W27" s="131"/>
    </row>
    <row r="28" spans="1:23" ht="15.75" customHeight="1" x14ac:dyDescent="0.3">
      <c r="A28" s="99"/>
      <c r="B28" s="127" t="s">
        <v>45</v>
      </c>
      <c r="C28" s="128"/>
      <c r="D28" s="128"/>
      <c r="E28" s="129"/>
      <c r="F28" s="148">
        <v>1133.68</v>
      </c>
      <c r="G28" s="148">
        <v>1333.32</v>
      </c>
      <c r="H28" s="148">
        <v>1678.92</v>
      </c>
      <c r="I28" s="120">
        <v>1637.85</v>
      </c>
      <c r="J28" s="120"/>
      <c r="K28" s="120"/>
      <c r="L28" s="120"/>
      <c r="M28" s="120"/>
      <c r="N28" s="120"/>
      <c r="O28" s="120"/>
      <c r="P28" s="120"/>
      <c r="Q28" s="120"/>
      <c r="R28" s="156">
        <f t="shared" si="4"/>
        <v>5783.77</v>
      </c>
      <c r="S28" s="119"/>
      <c r="T28" s="121">
        <v>21552</v>
      </c>
      <c r="U28" s="122">
        <f t="shared" si="3"/>
        <v>0.26836349294729028</v>
      </c>
      <c r="V28" s="122"/>
      <c r="W28" s="130"/>
    </row>
    <row r="29" spans="1:23" ht="15.75" customHeight="1" x14ac:dyDescent="0.3">
      <c r="A29" s="99"/>
      <c r="B29" s="127" t="s">
        <v>46</v>
      </c>
      <c r="C29" s="128"/>
      <c r="D29" s="128"/>
      <c r="E29" s="129"/>
      <c r="F29" s="148">
        <v>113.28</v>
      </c>
      <c r="G29" s="148">
        <v>-135.65</v>
      </c>
      <c r="H29" s="148">
        <v>66.3</v>
      </c>
      <c r="I29" s="120">
        <v>88.77</v>
      </c>
      <c r="J29" s="120"/>
      <c r="K29" s="120"/>
      <c r="L29" s="120"/>
      <c r="M29" s="120"/>
      <c r="N29" s="120"/>
      <c r="O29" s="120"/>
      <c r="P29" s="120"/>
      <c r="Q29" s="120"/>
      <c r="R29" s="156">
        <f t="shared" si="4"/>
        <v>132.69999999999999</v>
      </c>
      <c r="S29" s="119"/>
      <c r="T29" s="121">
        <v>1550</v>
      </c>
      <c r="U29" s="122">
        <f t="shared" si="3"/>
        <v>8.5612903225806447E-2</v>
      </c>
      <c r="V29" s="122"/>
      <c r="W29" s="130" t="s">
        <v>31</v>
      </c>
    </row>
    <row r="30" spans="1:23" ht="15.75" customHeight="1" x14ac:dyDescent="0.3">
      <c r="A30" s="127"/>
      <c r="B30" s="127" t="s">
        <v>47</v>
      </c>
      <c r="C30" s="132"/>
      <c r="D30" s="132"/>
      <c r="E30" s="129"/>
      <c r="F30" s="148">
        <v>49.95</v>
      </c>
      <c r="G30" s="148">
        <v>1841.44</v>
      </c>
      <c r="H30" s="148">
        <v>49.95</v>
      </c>
      <c r="I30" s="120">
        <v>69.95</v>
      </c>
      <c r="J30" s="120"/>
      <c r="K30" s="120"/>
      <c r="L30" s="120"/>
      <c r="M30" s="120"/>
      <c r="N30" s="120"/>
      <c r="O30" s="120"/>
      <c r="P30" s="120"/>
      <c r="Q30" s="120"/>
      <c r="R30" s="156">
        <f t="shared" si="4"/>
        <v>2011.2900000000002</v>
      </c>
      <c r="S30" s="119"/>
      <c r="T30" s="121">
        <v>11620</v>
      </c>
      <c r="U30" s="122">
        <f t="shared" si="3"/>
        <v>0.17308864027538728</v>
      </c>
      <c r="V30" s="122"/>
      <c r="W30" s="131" t="s">
        <v>31</v>
      </c>
    </row>
    <row r="31" spans="1:23" ht="15.75" customHeight="1" x14ac:dyDescent="0.3">
      <c r="A31" s="99"/>
      <c r="B31" s="127" t="s">
        <v>48</v>
      </c>
      <c r="C31" s="128"/>
      <c r="D31" s="128"/>
      <c r="E31" s="129"/>
      <c r="F31" s="148">
        <v>0</v>
      </c>
      <c r="G31" s="148">
        <v>304.68</v>
      </c>
      <c r="H31" s="148">
        <v>209.27</v>
      </c>
      <c r="I31" s="120">
        <v>73.989999999999995</v>
      </c>
      <c r="J31" s="120"/>
      <c r="K31" s="120"/>
      <c r="L31" s="120"/>
      <c r="M31" s="120"/>
      <c r="N31" s="120"/>
      <c r="O31" s="120"/>
      <c r="P31" s="120"/>
      <c r="Q31" s="120"/>
      <c r="R31" s="156">
        <f t="shared" si="4"/>
        <v>587.94000000000005</v>
      </c>
      <c r="S31" s="119"/>
      <c r="T31" s="121">
        <v>13055</v>
      </c>
      <c r="U31" s="122">
        <f t="shared" si="3"/>
        <v>4.5035618536959025E-2</v>
      </c>
      <c r="V31" s="122"/>
      <c r="W31" s="130" t="s">
        <v>31</v>
      </c>
    </row>
    <row r="32" spans="1:23" ht="15.75" customHeight="1" x14ac:dyDescent="0.3">
      <c r="A32" s="117"/>
      <c r="B32" s="117" t="s">
        <v>49</v>
      </c>
      <c r="C32" s="118"/>
      <c r="D32" s="118"/>
      <c r="E32" s="119"/>
      <c r="F32" s="147">
        <v>0</v>
      </c>
      <c r="G32" s="147">
        <v>0</v>
      </c>
      <c r="H32" s="147">
        <v>0</v>
      </c>
      <c r="I32" s="120"/>
      <c r="J32" s="120"/>
      <c r="K32" s="120"/>
      <c r="L32" s="120"/>
      <c r="M32" s="120"/>
      <c r="N32" s="120"/>
      <c r="O32" s="120"/>
      <c r="P32" s="120"/>
      <c r="Q32" s="120"/>
      <c r="R32" s="156">
        <f t="shared" si="4"/>
        <v>0</v>
      </c>
      <c r="S32" s="119"/>
      <c r="T32" s="121">
        <v>6700</v>
      </c>
      <c r="U32" s="122">
        <f t="shared" si="3"/>
        <v>0</v>
      </c>
      <c r="V32" s="123"/>
      <c r="W32" s="133" t="s">
        <v>31</v>
      </c>
    </row>
    <row r="33" spans="1:23" ht="15.75" customHeight="1" x14ac:dyDescent="0.3">
      <c r="A33" s="30"/>
      <c r="B33" s="117" t="s">
        <v>50</v>
      </c>
      <c r="C33" s="118"/>
      <c r="D33" s="118"/>
      <c r="E33" s="119"/>
      <c r="F33" s="147">
        <v>0</v>
      </c>
      <c r="G33" s="147">
        <v>3377</v>
      </c>
      <c r="H33" s="147">
        <v>6971.4</v>
      </c>
      <c r="I33" s="120">
        <v>0</v>
      </c>
      <c r="J33" s="120"/>
      <c r="K33" s="120"/>
      <c r="L33" s="120"/>
      <c r="M33" s="120"/>
      <c r="N33" s="120"/>
      <c r="O33" s="120"/>
      <c r="P33" s="120"/>
      <c r="Q33" s="120"/>
      <c r="R33" s="156">
        <f t="shared" si="4"/>
        <v>10348.4</v>
      </c>
      <c r="S33" s="119"/>
      <c r="T33" s="121">
        <v>17100</v>
      </c>
      <c r="U33" s="122">
        <f t="shared" si="3"/>
        <v>0.6051695906432748</v>
      </c>
      <c r="V33" s="123"/>
      <c r="W33" s="126" t="s">
        <v>214</v>
      </c>
    </row>
    <row r="34" spans="1:23" ht="15.75" customHeight="1" x14ac:dyDescent="0.3">
      <c r="A34" s="117"/>
      <c r="B34" s="117" t="s">
        <v>51</v>
      </c>
      <c r="C34" s="118"/>
      <c r="D34" s="118"/>
      <c r="E34" s="119"/>
      <c r="F34" s="147">
        <v>802.39</v>
      </c>
      <c r="G34" s="147">
        <v>1299.3900000000001</v>
      </c>
      <c r="H34" s="147">
        <v>451.66</v>
      </c>
      <c r="I34" s="120">
        <v>8017</v>
      </c>
      <c r="J34" s="120"/>
      <c r="K34" s="120"/>
      <c r="L34" s="120"/>
      <c r="M34" s="120"/>
      <c r="N34" s="120"/>
      <c r="O34" s="120"/>
      <c r="P34" s="120"/>
      <c r="Q34" s="120"/>
      <c r="R34" s="156">
        <f t="shared" si="4"/>
        <v>10570.44</v>
      </c>
      <c r="S34" s="119"/>
      <c r="T34" s="121">
        <v>14900</v>
      </c>
      <c r="U34" s="122">
        <f t="shared" si="3"/>
        <v>0.70942550335570476</v>
      </c>
      <c r="V34" s="123"/>
      <c r="W34" s="133" t="s">
        <v>215</v>
      </c>
    </row>
    <row r="35" spans="1:23" ht="15.75" customHeight="1" x14ac:dyDescent="0.3">
      <c r="A35" s="117"/>
      <c r="B35" s="117" t="s">
        <v>52</v>
      </c>
      <c r="C35" s="118"/>
      <c r="D35" s="118"/>
      <c r="E35" s="119"/>
      <c r="F35" s="147"/>
      <c r="G35" s="147"/>
      <c r="H35" s="147"/>
      <c r="I35" s="120">
        <v>0</v>
      </c>
      <c r="J35" s="120"/>
      <c r="K35" s="120"/>
      <c r="L35" s="120"/>
      <c r="M35" s="120"/>
      <c r="N35" s="120"/>
      <c r="O35" s="120"/>
      <c r="P35" s="120"/>
      <c r="Q35" s="120"/>
      <c r="R35" s="156">
        <f t="shared" si="4"/>
        <v>0</v>
      </c>
      <c r="S35" s="119"/>
      <c r="T35" s="121">
        <v>130</v>
      </c>
      <c r="U35" s="122" t="s">
        <v>31</v>
      </c>
      <c r="V35" s="123"/>
      <c r="W35" s="133"/>
    </row>
    <row r="36" spans="1:23" ht="15.75" customHeight="1" x14ac:dyDescent="0.3">
      <c r="A36" s="99"/>
      <c r="B36" s="127" t="s">
        <v>54</v>
      </c>
      <c r="C36" s="128"/>
      <c r="D36" s="128"/>
      <c r="E36" s="129"/>
      <c r="F36" s="148">
        <v>774.95</v>
      </c>
      <c r="G36" s="148">
        <v>774.63</v>
      </c>
      <c r="H36" s="148">
        <v>1407.2</v>
      </c>
      <c r="I36" s="120">
        <v>1405.07</v>
      </c>
      <c r="J36" s="120"/>
      <c r="K36" s="120"/>
      <c r="L36" s="120"/>
      <c r="M36" s="120"/>
      <c r="N36" s="120"/>
      <c r="O36" s="120"/>
      <c r="P36" s="120"/>
      <c r="Q36" s="120"/>
      <c r="R36" s="156">
        <f t="shared" si="4"/>
        <v>4361.8499999999995</v>
      </c>
      <c r="S36" s="119"/>
      <c r="T36" s="121">
        <v>10000</v>
      </c>
      <c r="U36" s="122">
        <f t="shared" si="3"/>
        <v>0.43618499999999993</v>
      </c>
      <c r="V36" s="122"/>
      <c r="W36" s="133" t="s">
        <v>216</v>
      </c>
    </row>
    <row r="37" spans="1:23" ht="15.75" customHeight="1" x14ac:dyDescent="0.3">
      <c r="A37" s="30"/>
      <c r="B37" s="117" t="s">
        <v>55</v>
      </c>
      <c r="C37" s="118"/>
      <c r="D37" s="118"/>
      <c r="E37" s="119"/>
      <c r="F37" s="147">
        <v>93.08</v>
      </c>
      <c r="G37" s="147">
        <v>203.69</v>
      </c>
      <c r="H37" s="147"/>
      <c r="I37" s="120">
        <v>0</v>
      </c>
      <c r="J37" s="120"/>
      <c r="K37" s="120"/>
      <c r="L37" s="120"/>
      <c r="M37" s="120"/>
      <c r="N37" s="120"/>
      <c r="O37" s="120"/>
      <c r="P37" s="120"/>
      <c r="Q37" s="120"/>
      <c r="R37" s="156">
        <f t="shared" si="4"/>
        <v>296.77</v>
      </c>
      <c r="S37" s="119"/>
      <c r="T37" s="121">
        <v>4000</v>
      </c>
      <c r="U37" s="122">
        <f t="shared" si="3"/>
        <v>7.4192499999999995E-2</v>
      </c>
      <c r="V37" s="123"/>
      <c r="W37" s="131" t="s">
        <v>31</v>
      </c>
    </row>
    <row r="38" spans="1:23" ht="15.75" customHeight="1" x14ac:dyDescent="0.3">
      <c r="A38" s="30"/>
      <c r="B38" s="117" t="s">
        <v>56</v>
      </c>
      <c r="C38" s="118"/>
      <c r="D38" s="118"/>
      <c r="E38" s="119"/>
      <c r="F38" s="147">
        <v>363.39</v>
      </c>
      <c r="G38" s="147">
        <v>398.81</v>
      </c>
      <c r="H38" s="147">
        <v>454.13</v>
      </c>
      <c r="I38" s="120">
        <v>360.54</v>
      </c>
      <c r="J38" s="120"/>
      <c r="K38" s="120"/>
      <c r="L38" s="120"/>
      <c r="M38" s="120"/>
      <c r="N38" s="120"/>
      <c r="O38" s="120"/>
      <c r="P38" s="120"/>
      <c r="Q38" s="120"/>
      <c r="R38" s="156">
        <f>SUM(F38:Q38)</f>
        <v>1576.87</v>
      </c>
      <c r="S38" s="119"/>
      <c r="T38" s="121">
        <v>4900</v>
      </c>
      <c r="U38" s="122">
        <f t="shared" si="3"/>
        <v>0.32181020408163263</v>
      </c>
      <c r="V38" s="123"/>
      <c r="W38" s="63" t="s">
        <v>31</v>
      </c>
    </row>
    <row r="39" spans="1:23" ht="15.75" customHeight="1" x14ac:dyDescent="0.3">
      <c r="A39" s="99"/>
      <c r="B39" s="99" t="s">
        <v>67</v>
      </c>
      <c r="C39" s="57"/>
      <c r="D39" s="57"/>
      <c r="E39" s="60"/>
      <c r="F39" s="28">
        <v>3209.77</v>
      </c>
      <c r="G39" s="28">
        <v>17.190000000000001</v>
      </c>
      <c r="H39" s="28">
        <v>154.62</v>
      </c>
      <c r="I39" s="61">
        <v>1181.6099999999999</v>
      </c>
      <c r="J39" s="61"/>
      <c r="K39" s="61"/>
      <c r="L39" s="61"/>
      <c r="M39" s="61"/>
      <c r="N39" s="61"/>
      <c r="O39" s="61"/>
      <c r="P39" s="61"/>
      <c r="Q39" s="61"/>
      <c r="R39" s="205">
        <f t="shared" si="4"/>
        <v>4563.1899999999996</v>
      </c>
      <c r="S39" s="60"/>
      <c r="T39" s="121">
        <v>26740.11</v>
      </c>
      <c r="U39" s="122">
        <f t="shared" si="3"/>
        <v>0.17064963457517562</v>
      </c>
      <c r="V39" s="100"/>
      <c r="W39" s="160" t="s">
        <v>31</v>
      </c>
    </row>
    <row r="40" spans="1:23" ht="15.75" customHeight="1" x14ac:dyDescent="0.3">
      <c r="A40" s="206"/>
      <c r="B40" s="206" t="s">
        <v>57</v>
      </c>
      <c r="C40" s="57"/>
      <c r="D40" s="57"/>
      <c r="E40" s="60"/>
      <c r="F40" s="28">
        <v>1050.94</v>
      </c>
      <c r="G40" s="28">
        <v>2368.9</v>
      </c>
      <c r="H40" s="28">
        <v>1027.68</v>
      </c>
      <c r="I40" s="61">
        <v>734.59</v>
      </c>
      <c r="J40" s="61"/>
      <c r="K40" s="61"/>
      <c r="L40" s="61"/>
      <c r="M40" s="61"/>
      <c r="N40" s="61"/>
      <c r="O40" s="61"/>
      <c r="P40" s="61"/>
      <c r="Q40" s="61"/>
      <c r="R40" s="205">
        <f t="shared" si="4"/>
        <v>5182.1100000000006</v>
      </c>
      <c r="S40" s="60"/>
      <c r="T40" s="121">
        <v>35308.870000000003</v>
      </c>
      <c r="U40" s="122">
        <f t="shared" si="3"/>
        <v>0.14676510463234876</v>
      </c>
      <c r="V40" s="100"/>
      <c r="W40" s="160" t="s">
        <v>31</v>
      </c>
    </row>
    <row r="41" spans="1:23" ht="15.75" customHeight="1" x14ac:dyDescent="0.3">
      <c r="A41" s="99"/>
      <c r="B41" s="99" t="s">
        <v>68</v>
      </c>
      <c r="C41" s="57"/>
      <c r="D41" s="57"/>
      <c r="E41" s="60"/>
      <c r="F41" s="28">
        <v>612.5</v>
      </c>
      <c r="G41" s="28">
        <v>3343.09</v>
      </c>
      <c r="H41" s="28">
        <v>4624.92</v>
      </c>
      <c r="I41" s="61">
        <v>3700.53</v>
      </c>
      <c r="J41" s="61"/>
      <c r="K41" s="61"/>
      <c r="L41" s="61"/>
      <c r="M41" s="61"/>
      <c r="N41" s="61"/>
      <c r="O41" s="61"/>
      <c r="P41" s="61"/>
      <c r="Q41" s="61"/>
      <c r="R41" s="205">
        <f t="shared" si="4"/>
        <v>12281.04</v>
      </c>
      <c r="S41" s="60"/>
      <c r="T41" s="121">
        <v>36065.5</v>
      </c>
      <c r="U41" s="122">
        <f t="shared" si="3"/>
        <v>0.34052044197363135</v>
      </c>
      <c r="V41" s="100"/>
      <c r="W41" s="160" t="s">
        <v>31</v>
      </c>
    </row>
    <row r="42" spans="1:23" ht="18" thickBot="1" x14ac:dyDescent="0.35">
      <c r="A42" s="44" t="s">
        <v>59</v>
      </c>
      <c r="B42" s="101"/>
      <c r="C42" s="101"/>
      <c r="D42" s="101"/>
      <c r="E42" s="134"/>
      <c r="F42" s="149">
        <f t="shared" ref="F42:R42" si="5">SUM(F21:F41)</f>
        <v>86982.199999999983</v>
      </c>
      <c r="G42" s="149">
        <f t="shared" si="5"/>
        <v>100771.02</v>
      </c>
      <c r="H42" s="149">
        <f t="shared" si="5"/>
        <v>107675.71999999999</v>
      </c>
      <c r="I42" s="149">
        <f t="shared" si="5"/>
        <v>103866.51000000001</v>
      </c>
      <c r="J42" s="149">
        <f t="shared" si="5"/>
        <v>0</v>
      </c>
      <c r="K42" s="149">
        <f t="shared" si="5"/>
        <v>0</v>
      </c>
      <c r="L42" s="149">
        <f t="shared" si="5"/>
        <v>0</v>
      </c>
      <c r="M42" s="149">
        <f t="shared" si="5"/>
        <v>0</v>
      </c>
      <c r="N42" s="149">
        <f t="shared" si="5"/>
        <v>0</v>
      </c>
      <c r="O42" s="149">
        <f t="shared" si="5"/>
        <v>0</v>
      </c>
      <c r="P42" s="149">
        <f t="shared" si="5"/>
        <v>0</v>
      </c>
      <c r="Q42" s="149">
        <f t="shared" si="5"/>
        <v>0</v>
      </c>
      <c r="R42" s="157">
        <f t="shared" si="5"/>
        <v>399295.45000000007</v>
      </c>
      <c r="S42" s="254"/>
      <c r="T42" s="136">
        <f>SUM(T21:T41)</f>
        <v>1337134.1500000001</v>
      </c>
      <c r="U42" s="137">
        <f>R42/T42</f>
        <v>0.29862033663563226</v>
      </c>
      <c r="V42" s="138"/>
      <c r="W42" s="108"/>
    </row>
    <row r="43" spans="1:23" ht="21" thickBot="1" x14ac:dyDescent="0.35">
      <c r="A43" s="139" t="s">
        <v>60</v>
      </c>
      <c r="B43" s="109"/>
      <c r="C43" s="109"/>
      <c r="D43" s="109"/>
      <c r="E43" s="140"/>
      <c r="F43" s="150">
        <f t="shared" ref="F43:P43" si="6">+F18-F42</f>
        <v>78422.74000000002</v>
      </c>
      <c r="G43" s="150">
        <f t="shared" si="6"/>
        <v>-26195.699999999997</v>
      </c>
      <c r="H43" s="150">
        <f t="shared" si="6"/>
        <v>-3000.7199999999866</v>
      </c>
      <c r="I43" s="150">
        <f t="shared" si="6"/>
        <v>88047.329999999987</v>
      </c>
      <c r="J43" s="150">
        <f t="shared" si="6"/>
        <v>0</v>
      </c>
      <c r="K43" s="150">
        <f t="shared" si="6"/>
        <v>0</v>
      </c>
      <c r="L43" s="150">
        <f t="shared" si="6"/>
        <v>0</v>
      </c>
      <c r="M43" s="150">
        <f t="shared" si="6"/>
        <v>0</v>
      </c>
      <c r="N43" s="150">
        <f t="shared" si="6"/>
        <v>0</v>
      </c>
      <c r="O43" s="150">
        <f t="shared" si="6"/>
        <v>0</v>
      </c>
      <c r="P43" s="150">
        <f t="shared" si="6"/>
        <v>0</v>
      </c>
      <c r="Q43" s="150">
        <f>+Q18+Q19-Q42</f>
        <v>0</v>
      </c>
      <c r="R43" s="242">
        <f>+R18+R19-R42</f>
        <v>137273.65000000002</v>
      </c>
      <c r="S43" s="141"/>
      <c r="T43" s="142">
        <f>(+T18+T19)-T42</f>
        <v>3504.9999999997672</v>
      </c>
      <c r="U43" s="137">
        <f>R43/T43</f>
        <v>39.165092724681635</v>
      </c>
      <c r="V43" s="143"/>
      <c r="W43" s="144"/>
    </row>
    <row r="44" spans="1:23" x14ac:dyDescent="0.3">
      <c r="A44" t="s">
        <v>31</v>
      </c>
      <c r="R44" t="s">
        <v>31</v>
      </c>
    </row>
  </sheetData>
  <mergeCells count="2">
    <mergeCell ref="A4:W4"/>
    <mergeCell ref="U5:U6"/>
  </mergeCells>
  <pageMargins left="0.25" right="0.25" top="0.75" bottom="0.75" header="0.3" footer="0.3"/>
  <pageSetup scale="60" orientation="landscape" r:id="rId1"/>
  <headerFooter>
    <oddHeader>&amp;CTotal Funds
Statement of Activities
For four months ended October 31, 2018
Percentage of year expired 33.33%</oddHeader>
    <oddFooter>&amp;RPage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37"/>
  <sheetViews>
    <sheetView topLeftCell="A22" workbookViewId="0">
      <selection activeCell="W15" sqref="W15"/>
    </sheetView>
  </sheetViews>
  <sheetFormatPr defaultRowHeight="14.4" x14ac:dyDescent="0.3"/>
  <cols>
    <col min="1" max="1" width="10.6640625" customWidth="1"/>
    <col min="2" max="2" width="22.88671875" customWidth="1"/>
    <col min="5" max="5" width="3.6640625" customWidth="1"/>
    <col min="6" max="6" width="12.33203125" hidden="1" customWidth="1"/>
    <col min="7" max="7" width="12.6640625" customWidth="1"/>
    <col min="8" max="8" width="10.88671875" customWidth="1"/>
    <col min="9" max="9" width="13.88671875" customWidth="1"/>
    <col min="10" max="10" width="9.88671875" hidden="1" customWidth="1"/>
    <col min="11" max="11" width="9.77734375" hidden="1" customWidth="1"/>
    <col min="12" max="12" width="8" hidden="1" customWidth="1"/>
    <col min="13" max="13" width="8.88671875" hidden="1" customWidth="1"/>
    <col min="14" max="17" width="7.77734375" hidden="1" customWidth="1"/>
    <col min="18" max="18" width="13.88671875" customWidth="1"/>
    <col min="19" max="19" width="3.6640625" customWidth="1"/>
    <col min="20" max="20" width="19.109375" bestFit="1" customWidth="1"/>
    <col min="21" max="21" width="18.5546875" bestFit="1" customWidth="1"/>
    <col min="22" max="22" width="3.6640625" customWidth="1"/>
    <col min="23" max="23" width="45" bestFit="1" customWidth="1"/>
  </cols>
  <sheetData>
    <row r="4" spans="1:23" ht="21.6" thickBot="1" x14ac:dyDescent="0.45">
      <c r="A4" s="266" t="s">
        <v>123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</row>
    <row r="5" spans="1:23" ht="15.6" x14ac:dyDescent="0.3">
      <c r="A5" s="81"/>
      <c r="B5" s="82"/>
      <c r="C5" s="82"/>
      <c r="D5" s="82"/>
      <c r="E5" s="83"/>
      <c r="F5" s="84" t="s">
        <v>11</v>
      </c>
      <c r="G5" s="84" t="s">
        <v>12</v>
      </c>
      <c r="H5" s="84" t="s">
        <v>13</v>
      </c>
      <c r="I5" s="84" t="s">
        <v>14</v>
      </c>
      <c r="J5" s="84" t="s">
        <v>15</v>
      </c>
      <c r="K5" s="84" t="s">
        <v>16</v>
      </c>
      <c r="L5" s="84" t="s">
        <v>17</v>
      </c>
      <c r="M5" s="84" t="s">
        <v>18</v>
      </c>
      <c r="N5" s="84" t="s">
        <v>19</v>
      </c>
      <c r="O5" s="84" t="s">
        <v>20</v>
      </c>
      <c r="P5" s="84" t="s">
        <v>21</v>
      </c>
      <c r="Q5" s="84" t="s">
        <v>22</v>
      </c>
      <c r="R5" s="152" t="s">
        <v>23</v>
      </c>
      <c r="S5" s="84"/>
      <c r="T5" s="85" t="s">
        <v>196</v>
      </c>
      <c r="U5" s="267" t="s">
        <v>25</v>
      </c>
      <c r="V5" s="86"/>
      <c r="W5" s="87"/>
    </row>
    <row r="6" spans="1:23" ht="16.2" thickBot="1" x14ac:dyDescent="0.35">
      <c r="A6" s="88"/>
      <c r="B6" s="89"/>
      <c r="C6" s="89"/>
      <c r="D6" s="89"/>
      <c r="E6" s="90"/>
      <c r="F6" s="91" t="s">
        <v>203</v>
      </c>
      <c r="G6" s="91" t="s">
        <v>203</v>
      </c>
      <c r="H6" s="91" t="s">
        <v>203</v>
      </c>
      <c r="I6" s="91" t="s">
        <v>203</v>
      </c>
      <c r="J6" s="91" t="s">
        <v>184</v>
      </c>
      <c r="K6" s="91" t="s">
        <v>184</v>
      </c>
      <c r="L6" s="91" t="s">
        <v>184</v>
      </c>
      <c r="M6" s="91" t="s">
        <v>184</v>
      </c>
      <c r="N6" s="91" t="s">
        <v>184</v>
      </c>
      <c r="O6" s="91" t="s">
        <v>203</v>
      </c>
      <c r="P6" s="91" t="s">
        <v>203</v>
      </c>
      <c r="Q6" s="91" t="s">
        <v>203</v>
      </c>
      <c r="R6" s="153" t="s">
        <v>203</v>
      </c>
      <c r="S6" s="91"/>
      <c r="T6" s="92" t="s">
        <v>26</v>
      </c>
      <c r="U6" s="268"/>
      <c r="V6" s="93"/>
      <c r="W6" s="94" t="s">
        <v>27</v>
      </c>
    </row>
    <row r="7" spans="1:23" ht="17.399999999999999" x14ac:dyDescent="0.3">
      <c r="A7" s="29" t="s">
        <v>28</v>
      </c>
      <c r="B7" s="30"/>
      <c r="C7" s="30"/>
      <c r="D7" s="30"/>
      <c r="E7" s="27"/>
      <c r="F7" s="66"/>
      <c r="G7" s="66"/>
      <c r="H7" s="66"/>
      <c r="I7" s="34"/>
      <c r="J7" s="34"/>
      <c r="K7" s="34"/>
      <c r="L7" s="34"/>
      <c r="M7" s="34"/>
      <c r="N7" s="34"/>
      <c r="O7" s="34"/>
      <c r="P7" s="34"/>
      <c r="Q7" s="34"/>
      <c r="R7" s="154"/>
      <c r="S7" s="27"/>
      <c r="T7" s="61"/>
      <c r="U7" s="61"/>
      <c r="V7" s="95"/>
      <c r="W7" s="39"/>
    </row>
    <row r="8" spans="1:23" ht="15.6" x14ac:dyDescent="0.3">
      <c r="A8" s="30"/>
      <c r="B8" s="36" t="s">
        <v>32</v>
      </c>
      <c r="C8" s="36"/>
      <c r="D8" s="36"/>
      <c r="E8" s="27"/>
      <c r="F8" s="66">
        <v>1050</v>
      </c>
      <c r="G8" s="66">
        <v>3550</v>
      </c>
      <c r="H8" s="66">
        <v>1921</v>
      </c>
      <c r="I8" s="34">
        <v>250</v>
      </c>
      <c r="J8" s="34"/>
      <c r="K8" s="34"/>
      <c r="L8" s="34"/>
      <c r="M8" s="34"/>
      <c r="N8" s="34"/>
      <c r="O8" s="34"/>
      <c r="P8" s="34"/>
      <c r="Q8" s="34"/>
      <c r="R8" s="154">
        <f>SUM(F8:Q8)</f>
        <v>6771</v>
      </c>
      <c r="S8" s="27"/>
      <c r="T8" s="96">
        <v>21500</v>
      </c>
      <c r="U8" s="97">
        <f>R8/T8</f>
        <v>0.31493023255813951</v>
      </c>
      <c r="V8" s="95"/>
      <c r="W8" s="39" t="s">
        <v>33</v>
      </c>
    </row>
    <row r="9" spans="1:23" ht="15.75" customHeight="1" x14ac:dyDescent="0.3">
      <c r="A9" s="30"/>
      <c r="B9" s="36" t="s">
        <v>34</v>
      </c>
      <c r="C9" s="36"/>
      <c r="D9" s="36"/>
      <c r="E9" s="27"/>
      <c r="F9" s="66">
        <v>76304.12</v>
      </c>
      <c r="G9" s="66">
        <v>37455.410000000003</v>
      </c>
      <c r="H9" s="66">
        <v>47158.61</v>
      </c>
      <c r="I9" s="34">
        <v>125190.14</v>
      </c>
      <c r="J9" s="34"/>
      <c r="K9" s="34"/>
      <c r="L9" s="34"/>
      <c r="M9" s="34"/>
      <c r="N9" s="34"/>
      <c r="O9" s="34"/>
      <c r="P9" s="34"/>
      <c r="Q9" s="34"/>
      <c r="R9" s="154">
        <f t="shared" ref="R9:R14" si="0">SUM(F9:Q9)</f>
        <v>286108.28000000003</v>
      </c>
      <c r="S9" s="27"/>
      <c r="T9" s="96">
        <v>782617.15</v>
      </c>
      <c r="U9" s="97">
        <f t="shared" ref="U9:U15" si="1">R9/T9</f>
        <v>0.3655788529551135</v>
      </c>
      <c r="V9" s="95"/>
      <c r="W9" s="63" t="s">
        <v>125</v>
      </c>
    </row>
    <row r="10" spans="1:23" ht="15.75" customHeight="1" x14ac:dyDescent="0.3">
      <c r="A10" s="30"/>
      <c r="B10" s="36" t="s">
        <v>35</v>
      </c>
      <c r="C10" s="36"/>
      <c r="D10" s="36"/>
      <c r="E10" s="27"/>
      <c r="F10" s="66">
        <v>47997.87</v>
      </c>
      <c r="G10" s="66">
        <v>5000</v>
      </c>
      <c r="H10" s="66"/>
      <c r="I10" s="34">
        <v>2180</v>
      </c>
      <c r="J10" s="34"/>
      <c r="K10" s="34"/>
      <c r="L10" s="34"/>
      <c r="M10" s="34"/>
      <c r="N10" s="34"/>
      <c r="O10" s="34"/>
      <c r="P10" s="34"/>
      <c r="Q10" s="34"/>
      <c r="R10" s="154">
        <f t="shared" si="0"/>
        <v>55177.87</v>
      </c>
      <c r="S10" s="27"/>
      <c r="T10" s="96">
        <v>53400</v>
      </c>
      <c r="U10" s="97">
        <f t="shared" si="1"/>
        <v>1.0332934456928839</v>
      </c>
      <c r="V10" s="95"/>
      <c r="W10" s="63" t="s">
        <v>206</v>
      </c>
    </row>
    <row r="11" spans="1:23" ht="15.6" x14ac:dyDescent="0.3">
      <c r="A11" s="30"/>
      <c r="B11" s="36" t="s">
        <v>63</v>
      </c>
      <c r="C11" s="36"/>
      <c r="D11" s="36"/>
      <c r="E11" s="27"/>
      <c r="F11" s="66">
        <v>14093.26</v>
      </c>
      <c r="G11" s="66"/>
      <c r="H11" s="66">
        <v>29825</v>
      </c>
      <c r="I11" s="34"/>
      <c r="J11" s="34"/>
      <c r="K11" s="34"/>
      <c r="L11" s="34"/>
      <c r="M11" s="34"/>
      <c r="N11" s="34"/>
      <c r="O11" s="34"/>
      <c r="P11" s="34"/>
      <c r="Q11" s="34"/>
      <c r="R11" s="154">
        <f t="shared" si="0"/>
        <v>43918.26</v>
      </c>
      <c r="S11" s="27"/>
      <c r="T11" s="96">
        <v>59650</v>
      </c>
      <c r="U11" s="97">
        <f t="shared" si="1"/>
        <v>0.73626588432523055</v>
      </c>
      <c r="V11" s="95"/>
      <c r="W11" s="98" t="s">
        <v>178</v>
      </c>
    </row>
    <row r="12" spans="1:23" ht="15.6" x14ac:dyDescent="0.3">
      <c r="A12" s="30"/>
      <c r="B12" s="36" t="s">
        <v>64</v>
      </c>
      <c r="C12" s="36"/>
      <c r="D12" s="36"/>
      <c r="E12" s="27"/>
      <c r="F12" s="66"/>
      <c r="G12" s="66"/>
      <c r="H12" s="66"/>
      <c r="I12" s="34"/>
      <c r="J12" s="34"/>
      <c r="K12" s="34"/>
      <c r="L12" s="34"/>
      <c r="M12" s="34"/>
      <c r="N12" s="34"/>
      <c r="O12" s="34"/>
      <c r="P12" s="34"/>
      <c r="Q12" s="34"/>
      <c r="R12" s="154">
        <f t="shared" si="0"/>
        <v>0</v>
      </c>
      <c r="S12" s="27"/>
      <c r="T12" s="96">
        <v>1600</v>
      </c>
      <c r="U12" s="97">
        <f t="shared" si="1"/>
        <v>0</v>
      </c>
      <c r="V12" s="95"/>
      <c r="W12" s="98" t="s">
        <v>31</v>
      </c>
    </row>
    <row r="13" spans="1:23" ht="15.6" x14ac:dyDescent="0.3">
      <c r="A13" s="30"/>
      <c r="B13" s="36" t="s">
        <v>204</v>
      </c>
      <c r="C13" s="36"/>
      <c r="D13" s="36"/>
      <c r="E13" s="27"/>
      <c r="F13" s="66"/>
      <c r="G13" s="66">
        <v>3110.58</v>
      </c>
      <c r="H13" s="66">
        <v>3182.86</v>
      </c>
      <c r="I13" s="34">
        <v>3987.87</v>
      </c>
      <c r="J13" s="34"/>
      <c r="K13" s="34"/>
      <c r="L13" s="34"/>
      <c r="M13" s="34"/>
      <c r="N13" s="34"/>
      <c r="O13" s="34"/>
      <c r="P13" s="34"/>
      <c r="Q13" s="34"/>
      <c r="R13" s="154">
        <f t="shared" si="0"/>
        <v>10281.310000000001</v>
      </c>
      <c r="S13" s="27"/>
      <c r="T13" s="96">
        <v>52072</v>
      </c>
      <c r="U13" s="97">
        <f t="shared" si="1"/>
        <v>0.19744411583960672</v>
      </c>
      <c r="V13" s="95"/>
      <c r="W13" s="98"/>
    </row>
    <row r="14" spans="1:23" ht="15.6" x14ac:dyDescent="0.3">
      <c r="A14" s="30"/>
      <c r="B14" s="36" t="s">
        <v>179</v>
      </c>
      <c r="C14" s="36"/>
      <c r="D14" s="36"/>
      <c r="E14" s="27"/>
      <c r="F14" s="66"/>
      <c r="G14" s="66"/>
      <c r="H14" s="66"/>
      <c r="I14" s="34">
        <v>252</v>
      </c>
      <c r="J14" s="34"/>
      <c r="K14" s="34"/>
      <c r="L14" s="34"/>
      <c r="M14" s="34"/>
      <c r="N14" s="34"/>
      <c r="O14" s="34"/>
      <c r="P14" s="34"/>
      <c r="Q14" s="34"/>
      <c r="R14" s="154">
        <f t="shared" si="0"/>
        <v>252</v>
      </c>
      <c r="S14" s="27"/>
      <c r="T14" s="96">
        <v>0</v>
      </c>
      <c r="U14" s="97" t="s">
        <v>31</v>
      </c>
      <c r="V14" s="95"/>
      <c r="W14" s="39"/>
    </row>
    <row r="15" spans="1:23" ht="18" thickBot="1" x14ac:dyDescent="0.35">
      <c r="A15" s="44" t="s">
        <v>37</v>
      </c>
      <c r="B15" s="101"/>
      <c r="C15" s="101"/>
      <c r="D15" s="101"/>
      <c r="E15" s="102"/>
      <c r="F15" s="145">
        <f>SUM(F8:F12)</f>
        <v>139445.25</v>
      </c>
      <c r="G15" s="145">
        <f>SUM(G8:G13)</f>
        <v>49115.990000000005</v>
      </c>
      <c r="H15" s="145">
        <f>SUM(H8:H13)</f>
        <v>82087.47</v>
      </c>
      <c r="I15" s="103">
        <f>SUM(I8:I14)</f>
        <v>131860.01</v>
      </c>
      <c r="J15" s="103">
        <f>SUM(J8:J14)</f>
        <v>0</v>
      </c>
      <c r="K15" s="103">
        <f>SUM(K8:K12)</f>
        <v>0</v>
      </c>
      <c r="L15" s="103">
        <f>SUM(L8:L12)</f>
        <v>0</v>
      </c>
      <c r="M15" s="103">
        <f>SUM(M8:M12)</f>
        <v>0</v>
      </c>
      <c r="N15" s="103">
        <f>SUM(N8:N12)</f>
        <v>0</v>
      </c>
      <c r="O15" s="103">
        <f>SUM(O8:O14)</f>
        <v>0</v>
      </c>
      <c r="P15" s="103">
        <f>SUM(P8:P14)</f>
        <v>0</v>
      </c>
      <c r="Q15" s="103">
        <f>SUM(Q8:Q14)</f>
        <v>0</v>
      </c>
      <c r="R15" s="155">
        <f>SUM(R8:R14)</f>
        <v>402508.72000000003</v>
      </c>
      <c r="S15" s="104"/>
      <c r="T15" s="105">
        <f>SUM(T8:T14)</f>
        <v>970839.15</v>
      </c>
      <c r="U15" s="106">
        <f t="shared" si="1"/>
        <v>0.41459877261851258</v>
      </c>
      <c r="V15" s="107"/>
      <c r="W15" s="108"/>
    </row>
    <row r="16" spans="1:23" ht="18" thickBot="1" x14ac:dyDescent="0.35">
      <c r="A16" s="109" t="s">
        <v>193</v>
      </c>
      <c r="B16" s="110"/>
      <c r="C16" s="110"/>
      <c r="D16" s="110"/>
      <c r="E16" s="111"/>
      <c r="F16" s="146"/>
      <c r="G16" s="232"/>
      <c r="H16" s="232"/>
      <c r="I16" s="112">
        <f>[1]CC!F28+[1]ILP!F28+[1]FEF!F28+[1]FCFC!F28+[1]EDU!F28+[1]CKF!F28+[1]MMP!F28+[1]Resale!F28+'[1]Admin &amp; Resale'!I28+'[1]Fit '!F28+'[1]CKF EXP'!F28+[1]PREP!F28</f>
        <v>0</v>
      </c>
      <c r="J16" s="113">
        <f>[1]CC!G28+[1]ILP!G28+[1]FEF!G28+[1]FCFC!G28+[1]EDU!G28+[1]CKF!G28+[1]MMP!G28+[1]Resale!G28+'[1]Admin &amp; Resale'!J28+'[1]Fit '!G28+'[1]CKF EXP'!G28+[1]PREP!G28</f>
        <v>0</v>
      </c>
      <c r="K16" s="113">
        <f>[1]CC!H28+[1]ILP!H28+[1]FEF!H28+[1]FCFC!H28+[1]EDU!H28+[1]CKF!H28+[1]MMP!H28+[1]Resale!H28+'[1]Admin &amp; Resale'!K28+'[1]Fit '!H28+'[1]CKF EXP'!H28+[1]PREP!H28</f>
        <v>0</v>
      </c>
      <c r="L16" s="113">
        <v>0</v>
      </c>
      <c r="M16" s="113"/>
      <c r="N16" s="113"/>
      <c r="O16" s="113"/>
      <c r="P16" s="113"/>
      <c r="Q16" s="229">
        <v>0</v>
      </c>
      <c r="R16" s="230">
        <v>0</v>
      </c>
      <c r="S16" s="114"/>
      <c r="T16" s="231">
        <v>0</v>
      </c>
      <c r="U16" s="151"/>
      <c r="V16" s="115"/>
      <c r="W16" s="116"/>
    </row>
    <row r="17" spans="1:23" ht="17.399999999999999" x14ac:dyDescent="0.3">
      <c r="A17" s="29" t="s">
        <v>38</v>
      </c>
      <c r="B17" s="30"/>
      <c r="C17" s="30"/>
      <c r="D17" s="30"/>
      <c r="E17" s="27"/>
      <c r="F17" s="66"/>
      <c r="G17" s="66"/>
      <c r="H17" s="66"/>
      <c r="I17" s="34"/>
      <c r="J17" s="34"/>
      <c r="K17" s="34"/>
      <c r="L17" s="34"/>
      <c r="M17" s="34"/>
      <c r="N17" s="34"/>
      <c r="O17" s="34"/>
      <c r="P17" s="34"/>
      <c r="Q17" s="34"/>
      <c r="R17" s="154"/>
      <c r="S17" s="27"/>
      <c r="T17" s="61"/>
      <c r="U17" s="61"/>
      <c r="V17" s="95"/>
      <c r="W17" s="39"/>
    </row>
    <row r="18" spans="1:23" ht="15.75" customHeight="1" x14ac:dyDescent="0.3">
      <c r="A18" s="30"/>
      <c r="B18" s="117" t="s">
        <v>39</v>
      </c>
      <c r="C18" s="118"/>
      <c r="D18" s="118"/>
      <c r="E18" s="119"/>
      <c r="F18" s="147">
        <v>42078.46</v>
      </c>
      <c r="G18" s="147">
        <v>41385.17</v>
      </c>
      <c r="H18" s="147">
        <v>45417.64</v>
      </c>
      <c r="I18" s="120">
        <v>49401.84</v>
      </c>
      <c r="J18" s="120"/>
      <c r="K18" s="120"/>
      <c r="L18" s="120"/>
      <c r="M18" s="120"/>
      <c r="N18" s="120"/>
      <c r="O18" s="120"/>
      <c r="P18" s="120"/>
      <c r="Q18" s="120"/>
      <c r="R18" s="154">
        <f t="shared" ref="R18:R34" si="2">SUM(F18:Q18)</f>
        <v>178283.11</v>
      </c>
      <c r="S18" s="119"/>
      <c r="T18" s="121">
        <v>584838.32999999996</v>
      </c>
      <c r="U18" s="122">
        <f t="shared" ref="U18:U25" si="3">R18/T18</f>
        <v>0.30484169873065603</v>
      </c>
      <c r="V18" s="123"/>
      <c r="W18" s="124" t="s">
        <v>31</v>
      </c>
    </row>
    <row r="19" spans="1:23" ht="15.75" customHeight="1" x14ac:dyDescent="0.3">
      <c r="A19" s="117"/>
      <c r="B19" s="117" t="s">
        <v>66</v>
      </c>
      <c r="C19" s="117"/>
      <c r="D19" s="125"/>
      <c r="E19" s="119"/>
      <c r="F19" s="147">
        <v>0</v>
      </c>
      <c r="G19" s="147">
        <v>0</v>
      </c>
      <c r="H19" s="147"/>
      <c r="I19" s="120"/>
      <c r="J19" s="120"/>
      <c r="K19" s="120"/>
      <c r="L19" s="120"/>
      <c r="M19" s="120"/>
      <c r="N19" s="120"/>
      <c r="O19" s="120"/>
      <c r="P19" s="120"/>
      <c r="Q19" s="120"/>
      <c r="R19" s="154">
        <f t="shared" si="2"/>
        <v>0</v>
      </c>
      <c r="S19" s="119"/>
      <c r="T19" s="121">
        <v>1970</v>
      </c>
      <c r="U19" s="122">
        <f t="shared" si="3"/>
        <v>0</v>
      </c>
      <c r="V19" s="123"/>
      <c r="W19" s="126" t="s">
        <v>31</v>
      </c>
    </row>
    <row r="20" spans="1:23" ht="15.75" customHeight="1" x14ac:dyDescent="0.3">
      <c r="A20" s="117"/>
      <c r="B20" s="117" t="s">
        <v>40</v>
      </c>
      <c r="C20" s="117"/>
      <c r="D20" s="125"/>
      <c r="E20" s="119"/>
      <c r="F20" s="147">
        <v>10179.51</v>
      </c>
      <c r="G20" s="147">
        <v>13301.91</v>
      </c>
      <c r="H20" s="147">
        <v>15968.95</v>
      </c>
      <c r="I20" s="120">
        <v>11672.77</v>
      </c>
      <c r="J20" s="120"/>
      <c r="K20" s="120"/>
      <c r="L20" s="120"/>
      <c r="M20" s="120"/>
      <c r="N20" s="120"/>
      <c r="O20" s="120"/>
      <c r="P20" s="120"/>
      <c r="Q20" s="120"/>
      <c r="R20" s="154">
        <f t="shared" si="2"/>
        <v>51123.14</v>
      </c>
      <c r="S20" s="119"/>
      <c r="T20" s="121">
        <v>148251.78</v>
      </c>
      <c r="U20" s="122">
        <f t="shared" si="3"/>
        <v>0.34483997426540175</v>
      </c>
      <c r="V20" s="123"/>
      <c r="W20" s="126" t="s">
        <v>208</v>
      </c>
    </row>
    <row r="21" spans="1:23" ht="15.75" customHeight="1" x14ac:dyDescent="0.3">
      <c r="A21" s="99"/>
      <c r="B21" s="127" t="s">
        <v>41</v>
      </c>
      <c r="C21" s="128"/>
      <c r="D21" s="128"/>
      <c r="E21" s="129"/>
      <c r="F21" s="148">
        <v>674.16</v>
      </c>
      <c r="G21" s="148">
        <v>737</v>
      </c>
      <c r="H21" s="148">
        <v>810.03</v>
      </c>
      <c r="I21" s="120">
        <v>708.86</v>
      </c>
      <c r="J21" s="120"/>
      <c r="K21" s="120"/>
      <c r="L21" s="120"/>
      <c r="M21" s="120"/>
      <c r="N21" s="120"/>
      <c r="O21" s="120"/>
      <c r="P21" s="120"/>
      <c r="Q21" s="120"/>
      <c r="R21" s="154">
        <f t="shared" si="2"/>
        <v>2930.0499999999997</v>
      </c>
      <c r="S21" s="119"/>
      <c r="T21" s="121">
        <v>8090</v>
      </c>
      <c r="U21" s="122">
        <f t="shared" si="3"/>
        <v>0.36218170580964149</v>
      </c>
      <c r="V21" s="122"/>
      <c r="W21" s="130" t="s">
        <v>31</v>
      </c>
    </row>
    <row r="22" spans="1:23" ht="15.75" customHeight="1" x14ac:dyDescent="0.3">
      <c r="A22" s="99"/>
      <c r="B22" s="127" t="s">
        <v>42</v>
      </c>
      <c r="C22" s="128"/>
      <c r="D22" s="128"/>
      <c r="E22" s="129"/>
      <c r="F22" s="148">
        <v>70.650000000000006</v>
      </c>
      <c r="G22" s="148">
        <v>100</v>
      </c>
      <c r="H22" s="148">
        <v>7.25</v>
      </c>
      <c r="I22" s="120">
        <v>10.62</v>
      </c>
      <c r="J22" s="120"/>
      <c r="K22" s="120"/>
      <c r="L22" s="120"/>
      <c r="M22" s="120"/>
      <c r="N22" s="120"/>
      <c r="O22" s="120"/>
      <c r="P22" s="120"/>
      <c r="Q22" s="120"/>
      <c r="R22" s="154">
        <f t="shared" si="2"/>
        <v>188.52</v>
      </c>
      <c r="S22" s="119"/>
      <c r="T22" s="121">
        <v>640</v>
      </c>
      <c r="U22" s="122">
        <f t="shared" si="3"/>
        <v>0.2945625</v>
      </c>
      <c r="V22" s="122"/>
      <c r="W22" s="130"/>
    </row>
    <row r="23" spans="1:23" ht="15.75" customHeight="1" x14ac:dyDescent="0.3">
      <c r="A23" s="99"/>
      <c r="B23" s="127" t="s">
        <v>43</v>
      </c>
      <c r="C23" s="128"/>
      <c r="D23" s="128"/>
      <c r="E23" s="129"/>
      <c r="F23" s="148">
        <v>2923.15</v>
      </c>
      <c r="G23" s="148">
        <v>3239.2</v>
      </c>
      <c r="H23" s="148">
        <v>3275.56</v>
      </c>
      <c r="I23" s="120">
        <v>2920.4</v>
      </c>
      <c r="J23" s="120"/>
      <c r="K23" s="120"/>
      <c r="L23" s="120"/>
      <c r="M23" s="120"/>
      <c r="N23" s="120"/>
      <c r="O23" s="120"/>
      <c r="P23" s="120"/>
      <c r="Q23" s="120"/>
      <c r="R23" s="154">
        <f t="shared" si="2"/>
        <v>12358.31</v>
      </c>
      <c r="S23" s="119"/>
      <c r="T23" s="121">
        <v>35078</v>
      </c>
      <c r="U23" s="122">
        <f t="shared" si="3"/>
        <v>0.35230942471064486</v>
      </c>
      <c r="V23" s="122"/>
      <c r="W23" s="130"/>
    </row>
    <row r="24" spans="1:23" ht="15.75" customHeight="1" x14ac:dyDescent="0.3">
      <c r="A24" s="99"/>
      <c r="B24" s="127" t="s">
        <v>44</v>
      </c>
      <c r="C24" s="128"/>
      <c r="D24" s="128"/>
      <c r="E24" s="129"/>
      <c r="F24" s="148">
        <v>235.8</v>
      </c>
      <c r="G24" s="148">
        <v>578.54999999999995</v>
      </c>
      <c r="H24" s="148">
        <v>273.60000000000002</v>
      </c>
      <c r="I24" s="120">
        <v>225.73</v>
      </c>
      <c r="J24" s="120"/>
      <c r="K24" s="120"/>
      <c r="L24" s="120"/>
      <c r="M24" s="120"/>
      <c r="N24" s="120"/>
      <c r="O24" s="120"/>
      <c r="P24" s="120"/>
      <c r="Q24" s="120"/>
      <c r="R24" s="154">
        <f t="shared" si="2"/>
        <v>1313.6799999999998</v>
      </c>
      <c r="S24" s="119"/>
      <c r="T24" s="121">
        <v>5225</v>
      </c>
      <c r="U24" s="122">
        <f t="shared" si="3"/>
        <v>0.25142200956937794</v>
      </c>
      <c r="V24" s="122"/>
      <c r="W24" s="131"/>
    </row>
    <row r="25" spans="1:23" ht="15.75" customHeight="1" x14ac:dyDescent="0.3">
      <c r="A25" s="99"/>
      <c r="B25" s="127" t="s">
        <v>45</v>
      </c>
      <c r="C25" s="128"/>
      <c r="D25" s="128"/>
      <c r="E25" s="129"/>
      <c r="F25" s="148">
        <v>1103.3399999999999</v>
      </c>
      <c r="G25" s="148">
        <v>1236.0899999999999</v>
      </c>
      <c r="H25" s="148">
        <v>1664.27</v>
      </c>
      <c r="I25" s="120">
        <v>1600.11</v>
      </c>
      <c r="J25" s="120"/>
      <c r="K25" s="120"/>
      <c r="L25" s="120"/>
      <c r="M25" s="120"/>
      <c r="N25" s="120"/>
      <c r="O25" s="120"/>
      <c r="P25" s="120"/>
      <c r="Q25" s="120"/>
      <c r="R25" s="154">
        <f t="shared" si="2"/>
        <v>5603.8099999999995</v>
      </c>
      <c r="S25" s="119"/>
      <c r="T25" s="121">
        <v>21002</v>
      </c>
      <c r="U25" s="122">
        <f t="shared" si="3"/>
        <v>0.26682268355394723</v>
      </c>
      <c r="V25" s="122"/>
      <c r="W25" s="130"/>
    </row>
    <row r="26" spans="1:23" ht="15.75" customHeight="1" x14ac:dyDescent="0.3">
      <c r="A26" s="127"/>
      <c r="B26" s="127" t="s">
        <v>47</v>
      </c>
      <c r="C26" s="132"/>
      <c r="D26" s="132"/>
      <c r="E26" s="129"/>
      <c r="F26" s="148">
        <v>0</v>
      </c>
      <c r="G26" s="148">
        <v>1260.96</v>
      </c>
      <c r="H26" s="148">
        <v>0</v>
      </c>
      <c r="I26" s="120">
        <v>0</v>
      </c>
      <c r="J26" s="120"/>
      <c r="K26" s="120"/>
      <c r="L26" s="120"/>
      <c r="M26" s="120"/>
      <c r="N26" s="120"/>
      <c r="O26" s="120"/>
      <c r="P26" s="120"/>
      <c r="Q26" s="120"/>
      <c r="R26" s="154">
        <f t="shared" si="2"/>
        <v>1260.96</v>
      </c>
      <c r="S26" s="119"/>
      <c r="T26" s="121">
        <v>5780</v>
      </c>
      <c r="U26" s="122">
        <f t="shared" ref="U26" si="4">R26/T26</f>
        <v>0.218159169550173</v>
      </c>
      <c r="V26" s="122"/>
      <c r="W26" s="131" t="s">
        <v>31</v>
      </c>
    </row>
    <row r="27" spans="1:23" ht="15.75" customHeight="1" x14ac:dyDescent="0.3">
      <c r="A27" s="99"/>
      <c r="B27" s="127" t="s">
        <v>48</v>
      </c>
      <c r="C27" s="128"/>
      <c r="D27" s="128"/>
      <c r="E27" s="129"/>
      <c r="F27" s="148">
        <v>0</v>
      </c>
      <c r="G27" s="148">
        <v>292.73</v>
      </c>
      <c r="H27" s="148">
        <v>209.27</v>
      </c>
      <c r="I27" s="120">
        <v>73.989999999999995</v>
      </c>
      <c r="J27" s="120"/>
      <c r="K27" s="120"/>
      <c r="L27" s="120"/>
      <c r="M27" s="120"/>
      <c r="N27" s="120"/>
      <c r="O27" s="120"/>
      <c r="P27" s="120"/>
      <c r="Q27" s="120"/>
      <c r="R27" s="154">
        <f t="shared" si="2"/>
        <v>575.99</v>
      </c>
      <c r="S27" s="119"/>
      <c r="T27" s="121">
        <v>9855</v>
      </c>
      <c r="U27" s="122">
        <f t="shared" ref="U27:U34" si="5">R27/T27</f>
        <v>5.8446473871131409E-2</v>
      </c>
      <c r="V27" s="122"/>
      <c r="W27" s="130" t="s">
        <v>31</v>
      </c>
    </row>
    <row r="28" spans="1:23" ht="15.75" customHeight="1" x14ac:dyDescent="0.3">
      <c r="A28" s="99"/>
      <c r="B28" s="127" t="s">
        <v>187</v>
      </c>
      <c r="C28" s="128"/>
      <c r="D28" s="128"/>
      <c r="E28" s="129"/>
      <c r="F28" s="148">
        <v>0</v>
      </c>
      <c r="G28" s="148">
        <v>0</v>
      </c>
      <c r="H28" s="148"/>
      <c r="I28" s="120">
        <v>0</v>
      </c>
      <c r="J28" s="120"/>
      <c r="K28" s="120"/>
      <c r="L28" s="120"/>
      <c r="M28" s="120"/>
      <c r="N28" s="120"/>
      <c r="O28" s="120"/>
      <c r="P28" s="120"/>
      <c r="Q28" s="120"/>
      <c r="R28" s="154">
        <f t="shared" si="2"/>
        <v>0</v>
      </c>
      <c r="S28" s="119"/>
      <c r="T28" s="121">
        <v>0</v>
      </c>
      <c r="U28" s="122" t="s">
        <v>31</v>
      </c>
      <c r="V28" s="122"/>
      <c r="W28" s="130"/>
    </row>
    <row r="29" spans="1:23" ht="15.75" customHeight="1" x14ac:dyDescent="0.3">
      <c r="A29" s="117"/>
      <c r="B29" s="117" t="s">
        <v>51</v>
      </c>
      <c r="C29" s="118"/>
      <c r="D29" s="118"/>
      <c r="E29" s="119"/>
      <c r="F29" s="147">
        <v>0</v>
      </c>
      <c r="G29" s="147">
        <v>0</v>
      </c>
      <c r="H29" s="147"/>
      <c r="I29" s="120">
        <v>0</v>
      </c>
      <c r="J29" s="120"/>
      <c r="K29" s="120"/>
      <c r="L29" s="120"/>
      <c r="M29" s="120"/>
      <c r="N29" s="120"/>
      <c r="O29" s="120"/>
      <c r="P29" s="120"/>
      <c r="Q29" s="120"/>
      <c r="R29" s="154">
        <f t="shared" si="2"/>
        <v>0</v>
      </c>
      <c r="S29" s="119"/>
      <c r="T29" s="121">
        <v>100</v>
      </c>
      <c r="U29" s="122">
        <f t="shared" si="5"/>
        <v>0</v>
      </c>
      <c r="V29" s="123"/>
      <c r="W29" s="133" t="s">
        <v>31</v>
      </c>
    </row>
    <row r="30" spans="1:23" ht="15.75" customHeight="1" x14ac:dyDescent="0.3">
      <c r="A30" s="117"/>
      <c r="B30" s="117" t="s">
        <v>53</v>
      </c>
      <c r="C30" s="118"/>
      <c r="D30" s="118"/>
      <c r="E30" s="119"/>
      <c r="F30" s="147">
        <v>3915.21</v>
      </c>
      <c r="G30" s="147">
        <v>3915.21</v>
      </c>
      <c r="H30" s="147">
        <v>6706.25</v>
      </c>
      <c r="I30" s="120">
        <v>3930.7</v>
      </c>
      <c r="J30" s="120"/>
      <c r="K30" s="120"/>
      <c r="L30" s="120"/>
      <c r="M30" s="120"/>
      <c r="N30" s="120"/>
      <c r="O30" s="120"/>
      <c r="P30" s="120"/>
      <c r="Q30" s="120"/>
      <c r="R30" s="154">
        <f t="shared" si="2"/>
        <v>18467.37</v>
      </c>
      <c r="S30" s="119"/>
      <c r="T30" s="121">
        <v>54794.559999999998</v>
      </c>
      <c r="U30" s="122">
        <f t="shared" si="5"/>
        <v>0.33702925983893289</v>
      </c>
      <c r="V30" s="123"/>
      <c r="W30" s="133"/>
    </row>
    <row r="31" spans="1:23" ht="15.75" customHeight="1" x14ac:dyDescent="0.3">
      <c r="A31" s="117"/>
      <c r="B31" s="117" t="s">
        <v>56</v>
      </c>
      <c r="C31" s="118"/>
      <c r="D31" s="118"/>
      <c r="E31" s="119"/>
      <c r="F31" s="147">
        <v>10</v>
      </c>
      <c r="G31" s="147">
        <v>0</v>
      </c>
      <c r="H31" s="147"/>
      <c r="I31" s="120">
        <v>0</v>
      </c>
      <c r="J31" s="120"/>
      <c r="K31" s="120"/>
      <c r="L31" s="120"/>
      <c r="M31" s="120"/>
      <c r="N31" s="120"/>
      <c r="O31" s="120"/>
      <c r="P31" s="120"/>
      <c r="Q31" s="120"/>
      <c r="R31" s="154">
        <f t="shared" si="2"/>
        <v>10</v>
      </c>
      <c r="S31" s="119"/>
      <c r="T31" s="121" t="s">
        <v>31</v>
      </c>
      <c r="U31" s="122" t="s">
        <v>31</v>
      </c>
      <c r="V31" s="123"/>
      <c r="W31" s="133"/>
    </row>
    <row r="32" spans="1:23" ht="15.75" customHeight="1" x14ac:dyDescent="0.3">
      <c r="A32" s="99"/>
      <c r="B32" s="99" t="s">
        <v>67</v>
      </c>
      <c r="C32" s="57"/>
      <c r="D32" s="57"/>
      <c r="E32" s="60"/>
      <c r="F32" s="28">
        <v>3209.77</v>
      </c>
      <c r="G32" s="28">
        <v>17.190000000000001</v>
      </c>
      <c r="H32" s="28">
        <v>154.62</v>
      </c>
      <c r="I32" s="61">
        <v>1181.6099999999999</v>
      </c>
      <c r="J32" s="61"/>
      <c r="K32" s="61"/>
      <c r="L32" s="61"/>
      <c r="M32" s="61"/>
      <c r="N32" s="61"/>
      <c r="O32" s="61"/>
      <c r="P32" s="61"/>
      <c r="Q32" s="61"/>
      <c r="R32" s="154">
        <f t="shared" si="2"/>
        <v>4563.1899999999996</v>
      </c>
      <c r="S32" s="60"/>
      <c r="T32" s="121">
        <v>26740.11</v>
      </c>
      <c r="U32" s="122">
        <f t="shared" si="5"/>
        <v>0.17064963457517562</v>
      </c>
      <c r="V32" s="100"/>
      <c r="W32" s="160"/>
    </row>
    <row r="33" spans="1:23" ht="15.75" customHeight="1" x14ac:dyDescent="0.3">
      <c r="A33" s="206"/>
      <c r="B33" s="206" t="s">
        <v>57</v>
      </c>
      <c r="C33" s="57"/>
      <c r="D33" s="57"/>
      <c r="E33" s="60"/>
      <c r="F33" s="28">
        <v>1050.94</v>
      </c>
      <c r="G33" s="28">
        <v>1568.9</v>
      </c>
      <c r="H33" s="28">
        <v>1027.68</v>
      </c>
      <c r="I33" s="61">
        <v>734.59</v>
      </c>
      <c r="J33" s="61"/>
      <c r="K33" s="61"/>
      <c r="L33" s="61"/>
      <c r="M33" s="61"/>
      <c r="N33" s="61"/>
      <c r="O33" s="61"/>
      <c r="P33" s="61"/>
      <c r="Q33" s="61"/>
      <c r="R33" s="154">
        <f t="shared" si="2"/>
        <v>4382.1100000000006</v>
      </c>
      <c r="S33" s="60"/>
      <c r="T33" s="121">
        <v>35308.870000000003</v>
      </c>
      <c r="U33" s="122">
        <f t="shared" si="5"/>
        <v>0.12410790829613069</v>
      </c>
      <c r="V33" s="100"/>
      <c r="W33" s="160"/>
    </row>
    <row r="34" spans="1:23" ht="15.75" customHeight="1" x14ac:dyDescent="0.3">
      <c r="A34" s="99"/>
      <c r="B34" s="99" t="s">
        <v>68</v>
      </c>
      <c r="C34" s="57"/>
      <c r="D34" s="57"/>
      <c r="E34" s="60"/>
      <c r="F34" s="28">
        <v>496.17</v>
      </c>
      <c r="G34" s="28">
        <v>3214.44</v>
      </c>
      <c r="H34" s="28">
        <v>4523.9399999999996</v>
      </c>
      <c r="I34" s="61">
        <v>3608.73</v>
      </c>
      <c r="J34" s="61"/>
      <c r="K34" s="61"/>
      <c r="L34" s="61"/>
      <c r="M34" s="61"/>
      <c r="N34" s="61"/>
      <c r="O34" s="61"/>
      <c r="P34" s="61"/>
      <c r="Q34" s="61"/>
      <c r="R34" s="154">
        <f t="shared" si="2"/>
        <v>11843.279999999999</v>
      </c>
      <c r="S34" s="60"/>
      <c r="T34" s="121">
        <v>33165.5</v>
      </c>
      <c r="U34" s="122">
        <f t="shared" si="5"/>
        <v>0.35709638027468299</v>
      </c>
      <c r="V34" s="100"/>
      <c r="W34" s="160" t="s">
        <v>31</v>
      </c>
    </row>
    <row r="35" spans="1:23" ht="15.75" customHeight="1" x14ac:dyDescent="0.3">
      <c r="A35" s="99"/>
      <c r="B35" s="99" t="s">
        <v>194</v>
      </c>
      <c r="C35" s="57"/>
      <c r="D35" s="57"/>
      <c r="E35" s="60"/>
      <c r="F35" s="28"/>
      <c r="G35" s="28"/>
      <c r="H35" s="28"/>
      <c r="I35" s="61"/>
      <c r="J35" s="61"/>
      <c r="K35" s="61"/>
      <c r="L35" s="61"/>
      <c r="M35" s="61"/>
      <c r="N35" s="61"/>
      <c r="O35" s="61"/>
      <c r="P35" s="61"/>
      <c r="Q35" s="61"/>
      <c r="R35" s="154">
        <v>0</v>
      </c>
      <c r="S35" s="60"/>
      <c r="T35" s="121"/>
      <c r="U35" s="122"/>
      <c r="V35" s="100"/>
      <c r="W35" s="160"/>
    </row>
    <row r="36" spans="1:23" ht="18" thickBot="1" x14ac:dyDescent="0.35">
      <c r="A36" s="44" t="s">
        <v>59</v>
      </c>
      <c r="B36" s="101"/>
      <c r="C36" s="101"/>
      <c r="D36" s="101"/>
      <c r="E36" s="134"/>
      <c r="F36" s="149">
        <f t="shared" ref="F36:Q36" si="6">SUM(F18:F34)</f>
        <v>65947.16</v>
      </c>
      <c r="G36" s="149">
        <f t="shared" si="6"/>
        <v>70847.350000000006</v>
      </c>
      <c r="H36" s="149">
        <f t="shared" si="6"/>
        <v>80039.06</v>
      </c>
      <c r="I36" s="149">
        <f t="shared" si="6"/>
        <v>76069.95</v>
      </c>
      <c r="J36" s="149">
        <f t="shared" si="6"/>
        <v>0</v>
      </c>
      <c r="K36" s="149">
        <f t="shared" si="6"/>
        <v>0</v>
      </c>
      <c r="L36" s="149">
        <f t="shared" si="6"/>
        <v>0</v>
      </c>
      <c r="M36" s="149">
        <f t="shared" si="6"/>
        <v>0</v>
      </c>
      <c r="N36" s="149">
        <f t="shared" si="6"/>
        <v>0</v>
      </c>
      <c r="O36" s="149">
        <f t="shared" si="6"/>
        <v>0</v>
      </c>
      <c r="P36" s="149">
        <f t="shared" si="6"/>
        <v>0</v>
      </c>
      <c r="Q36" s="149">
        <f t="shared" si="6"/>
        <v>0</v>
      </c>
      <c r="R36" s="157">
        <f>SUM(R18:R35)</f>
        <v>292903.5199999999</v>
      </c>
      <c r="S36" s="135"/>
      <c r="T36" s="136">
        <f>SUM(T18:T34)</f>
        <v>970839.14999999991</v>
      </c>
      <c r="U36" s="137">
        <f>R36/T36</f>
        <v>0.30170138894790133</v>
      </c>
      <c r="V36" s="138"/>
      <c r="W36" s="108"/>
    </row>
    <row r="37" spans="1:23" ht="18" thickBot="1" x14ac:dyDescent="0.35">
      <c r="A37" s="109" t="s">
        <v>60</v>
      </c>
      <c r="B37" s="109"/>
      <c r="C37" s="109"/>
      <c r="D37" s="109"/>
      <c r="E37" s="140"/>
      <c r="F37" s="150">
        <f t="shared" ref="F37:P37" si="7">+F15-F36</f>
        <v>73498.09</v>
      </c>
      <c r="G37" s="150">
        <f t="shared" si="7"/>
        <v>-21731.360000000001</v>
      </c>
      <c r="H37" s="150">
        <f t="shared" si="7"/>
        <v>2048.4100000000035</v>
      </c>
      <c r="I37" s="150">
        <f t="shared" si="7"/>
        <v>55790.060000000012</v>
      </c>
      <c r="J37" s="150">
        <f t="shared" si="7"/>
        <v>0</v>
      </c>
      <c r="K37" s="150">
        <f t="shared" si="7"/>
        <v>0</v>
      </c>
      <c r="L37" s="150">
        <f t="shared" si="7"/>
        <v>0</v>
      </c>
      <c r="M37" s="150">
        <f t="shared" si="7"/>
        <v>0</v>
      </c>
      <c r="N37" s="150">
        <f t="shared" si="7"/>
        <v>0</v>
      </c>
      <c r="O37" s="150">
        <f t="shared" si="7"/>
        <v>0</v>
      </c>
      <c r="P37" s="150">
        <f t="shared" si="7"/>
        <v>0</v>
      </c>
      <c r="Q37" s="150">
        <f>+Q15+Q16-Q36</f>
        <v>0</v>
      </c>
      <c r="R37" s="158">
        <f>+R15+R16-R36</f>
        <v>109605.20000000013</v>
      </c>
      <c r="S37" s="141"/>
      <c r="T37" s="142">
        <f>(+T15+T16)-T36</f>
        <v>0</v>
      </c>
      <c r="U37" s="53" t="s">
        <v>31</v>
      </c>
      <c r="V37" s="143"/>
      <c r="W37" s="144"/>
    </row>
  </sheetData>
  <mergeCells count="2">
    <mergeCell ref="A4:W4"/>
    <mergeCell ref="U5:U6"/>
  </mergeCells>
  <pageMargins left="0.7" right="0.7" top="0.75" bottom="0.75" header="0.3" footer="0.3"/>
  <pageSetup scale="62" orientation="landscape" r:id="rId1"/>
  <headerFooter>
    <oddHeader>&amp;CProgram Funds
Statement of Activities
For four months ended October 31, 2018
Percentage of year expired 33.33%</oddHeader>
    <oddFooter>&amp;RPage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0"/>
  <sheetViews>
    <sheetView topLeftCell="A17" workbookViewId="0">
      <selection activeCell="U36" sqref="U36"/>
    </sheetView>
  </sheetViews>
  <sheetFormatPr defaultRowHeight="14.4" x14ac:dyDescent="0.3"/>
  <cols>
    <col min="2" max="2" width="28.109375" bestFit="1" customWidth="1"/>
    <col min="5" max="5" width="3.6640625" customWidth="1"/>
    <col min="6" max="6" width="13.21875" hidden="1" customWidth="1"/>
    <col min="7" max="7" width="12.6640625" customWidth="1"/>
    <col min="8" max="8" width="12.33203125" customWidth="1"/>
    <col min="9" max="9" width="13.21875" customWidth="1"/>
    <col min="10" max="10" width="11.6640625" hidden="1" customWidth="1"/>
    <col min="11" max="11" width="11.5546875" hidden="1" customWidth="1"/>
    <col min="12" max="12" width="9.44140625" hidden="1" customWidth="1"/>
    <col min="13" max="13" width="10.44140625" hidden="1" customWidth="1"/>
    <col min="14" max="17" width="9.33203125" hidden="1" customWidth="1"/>
    <col min="18" max="18" width="14.77734375" customWidth="1"/>
    <col min="19" max="19" width="4.6640625" customWidth="1"/>
    <col min="20" max="20" width="17.44140625" customWidth="1"/>
    <col min="21" max="21" width="15" bestFit="1" customWidth="1"/>
    <col min="22" max="22" width="5.6640625" customWidth="1"/>
    <col min="23" max="23" width="46.5546875" bestFit="1" customWidth="1"/>
  </cols>
  <sheetData>
    <row r="2" spans="1:23" ht="18" thickBot="1" x14ac:dyDescent="0.3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</row>
    <row r="3" spans="1:23" ht="31.8" thickTop="1" x14ac:dyDescent="0.3">
      <c r="A3" s="12"/>
      <c r="B3" s="13"/>
      <c r="C3" s="13"/>
      <c r="D3" s="13"/>
      <c r="E3" s="255"/>
      <c r="F3" s="80" t="s">
        <v>11</v>
      </c>
      <c r="G3" s="80" t="s">
        <v>12</v>
      </c>
      <c r="H3" s="80" t="s">
        <v>13</v>
      </c>
      <c r="I3" s="14" t="s">
        <v>14</v>
      </c>
      <c r="J3" s="15" t="s">
        <v>15</v>
      </c>
      <c r="K3" s="15" t="s">
        <v>16</v>
      </c>
      <c r="L3" s="15" t="s">
        <v>17</v>
      </c>
      <c r="M3" s="15" t="s">
        <v>18</v>
      </c>
      <c r="N3" s="15" t="s">
        <v>19</v>
      </c>
      <c r="O3" s="15" t="s">
        <v>20</v>
      </c>
      <c r="P3" s="15" t="s">
        <v>21</v>
      </c>
      <c r="Q3" s="15" t="s">
        <v>22</v>
      </c>
      <c r="R3" s="16" t="s">
        <v>23</v>
      </c>
      <c r="S3" s="16"/>
      <c r="T3" s="17" t="s">
        <v>196</v>
      </c>
      <c r="U3" s="270" t="s">
        <v>25</v>
      </c>
      <c r="V3" s="18"/>
      <c r="W3" s="18"/>
    </row>
    <row r="4" spans="1:23" ht="15.6" x14ac:dyDescent="0.3">
      <c r="A4" s="19"/>
      <c r="B4" s="20"/>
      <c r="C4" s="20"/>
      <c r="D4" s="20"/>
      <c r="E4" s="256"/>
      <c r="F4" s="19" t="s">
        <v>203</v>
      </c>
      <c r="G4" s="19" t="s">
        <v>203</v>
      </c>
      <c r="H4" s="19" t="s">
        <v>203</v>
      </c>
      <c r="I4" s="21" t="s">
        <v>203</v>
      </c>
      <c r="J4" s="22" t="s">
        <v>184</v>
      </c>
      <c r="K4" s="22" t="s">
        <v>184</v>
      </c>
      <c r="L4" s="22" t="s">
        <v>184</v>
      </c>
      <c r="M4" s="22" t="s">
        <v>184</v>
      </c>
      <c r="N4" s="22" t="s">
        <v>184</v>
      </c>
      <c r="O4" s="22" t="s">
        <v>203</v>
      </c>
      <c r="P4" s="22" t="s">
        <v>203</v>
      </c>
      <c r="Q4" s="22" t="s">
        <v>203</v>
      </c>
      <c r="R4" s="23" t="s">
        <v>203</v>
      </c>
      <c r="S4" s="23"/>
      <c r="T4" s="24" t="s">
        <v>26</v>
      </c>
      <c r="U4" s="271"/>
      <c r="V4" s="25"/>
      <c r="W4" s="25" t="s">
        <v>27</v>
      </c>
    </row>
    <row r="5" spans="1:23" ht="17.399999999999999" x14ac:dyDescent="0.3">
      <c r="A5" s="29" t="s">
        <v>28</v>
      </c>
      <c r="B5" s="30"/>
      <c r="C5" s="30"/>
      <c r="D5" s="30"/>
      <c r="E5" s="257"/>
      <c r="F5" s="31"/>
      <c r="G5" s="31"/>
      <c r="H5" s="31"/>
      <c r="I5" s="32"/>
      <c r="J5" s="33"/>
      <c r="K5" s="33"/>
      <c r="L5" s="33"/>
      <c r="M5" s="33"/>
      <c r="N5" s="33"/>
      <c r="O5" s="33"/>
      <c r="P5" s="33"/>
      <c r="Q5" s="33"/>
      <c r="R5" s="27"/>
      <c r="S5" s="26"/>
      <c r="T5" s="28"/>
      <c r="U5" s="28"/>
      <c r="V5" s="34"/>
      <c r="W5" s="35"/>
    </row>
    <row r="6" spans="1:23" ht="15.6" x14ac:dyDescent="0.3">
      <c r="A6" s="30"/>
      <c r="B6" s="36" t="s">
        <v>29</v>
      </c>
      <c r="C6" s="36"/>
      <c r="D6" s="36"/>
      <c r="E6" s="258"/>
      <c r="F6" s="238">
        <v>9.48</v>
      </c>
      <c r="G6" s="34">
        <v>10.15</v>
      </c>
      <c r="H6" s="34">
        <v>11.5</v>
      </c>
      <c r="I6" s="32">
        <v>59.65</v>
      </c>
      <c r="J6" s="37"/>
      <c r="K6" s="33"/>
      <c r="L6" s="33"/>
      <c r="M6" s="33"/>
      <c r="N6" s="33"/>
      <c r="O6" s="33"/>
      <c r="P6" s="33"/>
      <c r="Q6" s="33"/>
      <c r="R6" s="27">
        <f t="shared" ref="R6:R11" si="0">SUM(F6:Q6)</f>
        <v>90.78</v>
      </c>
      <c r="S6" s="27"/>
      <c r="T6" s="28">
        <v>300</v>
      </c>
      <c r="U6" s="38">
        <f>R6/T6</f>
        <v>0.30259999999999998</v>
      </c>
      <c r="V6" s="34"/>
      <c r="W6" s="39" t="s">
        <v>177</v>
      </c>
    </row>
    <row r="7" spans="1:23" ht="15.6" x14ac:dyDescent="0.3">
      <c r="A7" s="30"/>
      <c r="B7" s="36" t="s">
        <v>30</v>
      </c>
      <c r="C7" s="36"/>
      <c r="D7" s="36"/>
      <c r="E7" s="258"/>
      <c r="F7" s="34">
        <v>94.08</v>
      </c>
      <c r="G7" s="34">
        <v>99.37</v>
      </c>
      <c r="H7" s="34">
        <v>243.73</v>
      </c>
      <c r="I7" s="32">
        <v>92.05</v>
      </c>
      <c r="J7" s="37"/>
      <c r="K7" s="33"/>
      <c r="L7" s="33"/>
      <c r="M7" s="33"/>
      <c r="N7" s="33"/>
      <c r="O7" s="33"/>
      <c r="P7" s="33"/>
      <c r="Q7" s="33"/>
      <c r="R7" s="27">
        <f t="shared" si="0"/>
        <v>529.2299999999999</v>
      </c>
      <c r="S7" s="27"/>
      <c r="T7" s="28">
        <v>1500</v>
      </c>
      <c r="U7" s="38">
        <f>R7/T7</f>
        <v>0.35281999999999991</v>
      </c>
      <c r="V7" s="34"/>
      <c r="W7" s="39" t="s">
        <v>31</v>
      </c>
    </row>
    <row r="8" spans="1:23" ht="15.6" hidden="1" x14ac:dyDescent="0.3">
      <c r="A8" s="30"/>
      <c r="B8" s="36" t="s">
        <v>166</v>
      </c>
      <c r="C8" s="36"/>
      <c r="D8" s="36"/>
      <c r="E8" s="258"/>
      <c r="F8" s="34"/>
      <c r="G8" s="34"/>
      <c r="H8" s="34"/>
      <c r="I8" s="32"/>
      <c r="J8" s="37"/>
      <c r="K8" s="33"/>
      <c r="L8" s="33"/>
      <c r="M8" s="33"/>
      <c r="N8" s="33"/>
      <c r="O8" s="33"/>
      <c r="P8" s="33"/>
      <c r="Q8" s="33"/>
      <c r="R8" s="27">
        <f t="shared" si="0"/>
        <v>0</v>
      </c>
      <c r="S8" s="27"/>
      <c r="T8" s="28">
        <v>0</v>
      </c>
      <c r="U8" s="38">
        <v>0</v>
      </c>
      <c r="V8" s="34"/>
      <c r="W8" s="39" t="s">
        <v>31</v>
      </c>
    </row>
    <row r="9" spans="1:23" ht="15.6" x14ac:dyDescent="0.3">
      <c r="A9" s="30"/>
      <c r="B9" s="36" t="s">
        <v>32</v>
      </c>
      <c r="C9" s="36"/>
      <c r="D9" s="36"/>
      <c r="E9" s="258"/>
      <c r="F9" s="34">
        <v>4883.25</v>
      </c>
      <c r="G9" s="34">
        <v>4224.47</v>
      </c>
      <c r="H9" s="34">
        <v>2733.65</v>
      </c>
      <c r="I9" s="32">
        <v>39339.26</v>
      </c>
      <c r="J9" s="37"/>
      <c r="K9" s="33"/>
      <c r="L9" s="33"/>
      <c r="M9" s="33"/>
      <c r="N9" s="33"/>
      <c r="O9" s="33"/>
      <c r="P9" s="33"/>
      <c r="Q9" s="33"/>
      <c r="R9" s="27">
        <f t="shared" si="0"/>
        <v>51180.630000000005</v>
      </c>
      <c r="S9" s="27"/>
      <c r="T9" s="28">
        <v>107000</v>
      </c>
      <c r="U9" s="38">
        <f>R9/T9</f>
        <v>0.4783236448598131</v>
      </c>
      <c r="V9" s="34"/>
      <c r="W9" s="39" t="s">
        <v>145</v>
      </c>
    </row>
    <row r="10" spans="1:23" ht="15.6" x14ac:dyDescent="0.3">
      <c r="A10" s="30"/>
      <c r="B10" s="36" t="s">
        <v>35</v>
      </c>
      <c r="C10" s="36"/>
      <c r="D10" s="36"/>
      <c r="E10" s="258"/>
      <c r="F10" s="34"/>
      <c r="G10" s="34"/>
      <c r="H10" s="34"/>
      <c r="I10" s="32"/>
      <c r="J10" s="37"/>
      <c r="K10" s="33"/>
      <c r="L10" s="33"/>
      <c r="M10" s="33"/>
      <c r="N10" s="33"/>
      <c r="O10" s="33"/>
      <c r="P10" s="33"/>
      <c r="Q10" s="33"/>
      <c r="R10" s="27">
        <f t="shared" si="0"/>
        <v>0</v>
      </c>
      <c r="S10" s="27"/>
      <c r="T10" s="28">
        <v>1000</v>
      </c>
      <c r="U10" s="38">
        <f>R10/T10</f>
        <v>0</v>
      </c>
      <c r="V10" s="34"/>
      <c r="W10" s="39"/>
    </row>
    <row r="11" spans="1:23" ht="15.6" x14ac:dyDescent="0.3">
      <c r="A11" s="30"/>
      <c r="B11" s="36" t="s">
        <v>36</v>
      </c>
      <c r="C11" s="36"/>
      <c r="D11" s="36"/>
      <c r="E11" s="258"/>
      <c r="F11" s="34">
        <v>20972.880000000001</v>
      </c>
      <c r="G11" s="34">
        <v>21125.34</v>
      </c>
      <c r="H11" s="34">
        <v>19598.650000000001</v>
      </c>
      <c r="I11" s="32">
        <v>20562.87</v>
      </c>
      <c r="J11" s="37"/>
      <c r="K11" s="33"/>
      <c r="L11" s="33"/>
      <c r="M11" s="33"/>
      <c r="N11" s="33"/>
      <c r="O11" s="33"/>
      <c r="P11" s="33"/>
      <c r="Q11" s="33"/>
      <c r="R11" s="27">
        <f t="shared" si="0"/>
        <v>82259.740000000005</v>
      </c>
      <c r="S11" s="40"/>
      <c r="T11" s="41">
        <v>260000</v>
      </c>
      <c r="U11" s="38">
        <f>R11/T11</f>
        <v>0.3163836153846154</v>
      </c>
      <c r="V11" s="42"/>
      <c r="W11" s="43" t="s">
        <v>31</v>
      </c>
    </row>
    <row r="12" spans="1:23" ht="18" thickBot="1" x14ac:dyDescent="0.35">
      <c r="A12" s="44" t="s">
        <v>37</v>
      </c>
      <c r="B12" s="44"/>
      <c r="C12" s="44"/>
      <c r="D12" s="44"/>
      <c r="E12" s="259"/>
      <c r="F12" s="161">
        <f t="shared" ref="F12:Q12" si="1">SUM(F6:F11)</f>
        <v>25959.690000000002</v>
      </c>
      <c r="G12" s="159">
        <f t="shared" si="1"/>
        <v>25459.33</v>
      </c>
      <c r="H12" s="159">
        <f t="shared" si="1"/>
        <v>22587.530000000002</v>
      </c>
      <c r="I12" s="45">
        <f t="shared" si="1"/>
        <v>60053.83</v>
      </c>
      <c r="J12" s="45">
        <f t="shared" si="1"/>
        <v>0</v>
      </c>
      <c r="K12" s="45">
        <f t="shared" si="1"/>
        <v>0</v>
      </c>
      <c r="L12" s="45">
        <f t="shared" si="1"/>
        <v>0</v>
      </c>
      <c r="M12" s="45">
        <f t="shared" si="1"/>
        <v>0</v>
      </c>
      <c r="N12" s="45">
        <f t="shared" si="1"/>
        <v>0</v>
      </c>
      <c r="O12" s="45">
        <f t="shared" si="1"/>
        <v>0</v>
      </c>
      <c r="P12" s="45">
        <f t="shared" si="1"/>
        <v>0</v>
      </c>
      <c r="Q12" s="45">
        <f t="shared" si="1"/>
        <v>0</v>
      </c>
      <c r="R12" s="239">
        <f>SUM(F12:Q12)</f>
        <v>134060.38</v>
      </c>
      <c r="S12" s="46" t="s">
        <v>31</v>
      </c>
      <c r="T12" s="47">
        <f>SUM(T6:T11)</f>
        <v>369800</v>
      </c>
      <c r="U12" s="48">
        <f>R12/T12</f>
        <v>0.36252130881557598</v>
      </c>
      <c r="V12" s="45"/>
      <c r="W12" s="49"/>
    </row>
    <row r="13" spans="1:23" ht="18" thickBot="1" x14ac:dyDescent="0.35">
      <c r="A13" s="50" t="s">
        <v>191</v>
      </c>
      <c r="B13" s="50"/>
      <c r="C13" s="50"/>
      <c r="D13" s="50"/>
      <c r="E13" s="260"/>
      <c r="F13" s="50"/>
      <c r="G13" s="50"/>
      <c r="H13" s="50"/>
      <c r="I13" s="51"/>
      <c r="J13" s="51"/>
      <c r="K13" s="51"/>
      <c r="L13" s="51"/>
      <c r="M13" s="51"/>
      <c r="N13" s="51"/>
      <c r="O13" s="51">
        <v>0</v>
      </c>
      <c r="P13" s="51">
        <v>0</v>
      </c>
      <c r="Q13" s="51">
        <v>0</v>
      </c>
      <c r="R13" s="239">
        <f>SUM(F13:Q13)</f>
        <v>0</v>
      </c>
      <c r="S13" s="240" t="s">
        <v>31</v>
      </c>
      <c r="T13" s="52"/>
      <c r="U13" s="53"/>
      <c r="V13" s="51"/>
      <c r="W13" s="54"/>
    </row>
    <row r="14" spans="1:23" ht="17.399999999999999" x14ac:dyDescent="0.3">
      <c r="A14" s="29" t="s">
        <v>38</v>
      </c>
      <c r="B14" s="30"/>
      <c r="C14" s="30"/>
      <c r="D14" s="30"/>
      <c r="E14" s="257"/>
      <c r="F14" s="30"/>
      <c r="G14" s="30"/>
      <c r="H14" s="30"/>
      <c r="I14" s="55"/>
      <c r="J14" s="56"/>
      <c r="K14" s="56"/>
      <c r="L14" s="56"/>
      <c r="M14" s="56"/>
      <c r="N14" s="56"/>
      <c r="O14" s="56"/>
      <c r="P14" s="56"/>
      <c r="Q14" s="56"/>
      <c r="R14" s="27"/>
      <c r="S14" s="26"/>
      <c r="T14" s="28"/>
      <c r="U14" s="38"/>
      <c r="V14" s="34"/>
      <c r="W14" s="39"/>
    </row>
    <row r="15" spans="1:23" ht="15.6" x14ac:dyDescent="0.3">
      <c r="A15" s="36"/>
      <c r="B15" s="36" t="s">
        <v>39</v>
      </c>
      <c r="C15" s="36"/>
      <c r="D15" s="36"/>
      <c r="E15" s="258"/>
      <c r="F15" s="32">
        <v>21386.49</v>
      </c>
      <c r="G15" s="32">
        <v>20511.259999999998</v>
      </c>
      <c r="H15" s="32">
        <v>18691.97</v>
      </c>
      <c r="I15" s="32">
        <v>15772.39</v>
      </c>
      <c r="J15" s="32"/>
      <c r="K15" s="32"/>
      <c r="L15" s="32"/>
      <c r="M15" s="32"/>
      <c r="N15" s="32"/>
      <c r="O15" s="32"/>
      <c r="P15" s="32"/>
      <c r="Q15" s="32"/>
      <c r="R15" s="27">
        <f>SUM(F15:Q15)</f>
        <v>76362.11</v>
      </c>
      <c r="S15" s="27"/>
      <c r="T15" s="28">
        <v>271515.56</v>
      </c>
      <c r="U15" s="38">
        <f t="shared" ref="U15:U27" si="2">R15/T15</f>
        <v>0.28124395522672807</v>
      </c>
      <c r="V15" s="34"/>
      <c r="W15" s="39" t="s">
        <v>31</v>
      </c>
    </row>
    <row r="16" spans="1:23" ht="15.6" x14ac:dyDescent="0.3">
      <c r="A16" s="36"/>
      <c r="B16" s="36" t="s">
        <v>66</v>
      </c>
      <c r="C16" s="36"/>
      <c r="D16" s="36"/>
      <c r="E16" s="258" t="s">
        <v>31</v>
      </c>
      <c r="F16" s="32">
        <v>800</v>
      </c>
      <c r="G16" s="32">
        <v>800</v>
      </c>
      <c r="H16" s="32">
        <v>1791.6</v>
      </c>
      <c r="I16" s="32">
        <v>800</v>
      </c>
      <c r="J16" s="32"/>
      <c r="K16" s="32"/>
      <c r="L16" s="32"/>
      <c r="M16" s="32"/>
      <c r="N16" s="32"/>
      <c r="O16" s="32"/>
      <c r="P16" s="32"/>
      <c r="Q16" s="32"/>
      <c r="R16" s="27">
        <f>SUM(F16:Q16)</f>
        <v>4191.6000000000004</v>
      </c>
      <c r="S16" s="27"/>
      <c r="T16" s="28">
        <v>9600</v>
      </c>
      <c r="U16" s="38">
        <f t="shared" si="2"/>
        <v>0.43662500000000004</v>
      </c>
      <c r="V16" s="34"/>
      <c r="W16" s="39" t="s">
        <v>217</v>
      </c>
    </row>
    <row r="17" spans="1:23" ht="15.6" x14ac:dyDescent="0.3">
      <c r="A17" s="36"/>
      <c r="B17" s="36" t="s">
        <v>41</v>
      </c>
      <c r="C17" s="36"/>
      <c r="D17" s="36"/>
      <c r="E17" s="258"/>
      <c r="F17" s="32">
        <v>8.18</v>
      </c>
      <c r="G17" s="32">
        <v>-47.06</v>
      </c>
      <c r="H17" s="32">
        <v>-72.78</v>
      </c>
      <c r="I17" s="32">
        <v>-63.24</v>
      </c>
      <c r="J17" s="32"/>
      <c r="K17" s="32"/>
      <c r="L17" s="32"/>
      <c r="M17" s="32"/>
      <c r="N17" s="32"/>
      <c r="O17" s="32"/>
      <c r="P17" s="32"/>
      <c r="Q17" s="32"/>
      <c r="R17" s="27">
        <f t="shared" ref="R17:R24" si="3">SUM(F17:Q17)</f>
        <v>-174.9</v>
      </c>
      <c r="S17" s="27"/>
      <c r="T17" s="28">
        <v>3070</v>
      </c>
      <c r="U17" s="38">
        <f t="shared" si="2"/>
        <v>-5.6970684039087949E-2</v>
      </c>
      <c r="V17" s="34"/>
      <c r="W17" s="39" t="s">
        <v>209</v>
      </c>
    </row>
    <row r="18" spans="1:23" ht="15.6" x14ac:dyDescent="0.3">
      <c r="A18" s="36"/>
      <c r="B18" s="36" t="s">
        <v>42</v>
      </c>
      <c r="C18" s="36"/>
      <c r="D18" s="36"/>
      <c r="E18" s="258"/>
      <c r="F18" s="32">
        <v>50</v>
      </c>
      <c r="G18" s="32">
        <v>20</v>
      </c>
      <c r="H18" s="32">
        <v>150</v>
      </c>
      <c r="I18" s="32">
        <v>50</v>
      </c>
      <c r="J18" s="32"/>
      <c r="K18" s="32"/>
      <c r="L18" s="32"/>
      <c r="M18" s="32"/>
      <c r="N18" s="32"/>
      <c r="O18" s="32"/>
      <c r="P18" s="32"/>
      <c r="Q18" s="32"/>
      <c r="R18" s="27">
        <f t="shared" si="3"/>
        <v>270</v>
      </c>
      <c r="S18" s="27"/>
      <c r="T18" s="28">
        <v>810</v>
      </c>
      <c r="U18" s="38">
        <f t="shared" si="2"/>
        <v>0.33333333333333331</v>
      </c>
      <c r="V18" s="34"/>
      <c r="W18" s="39" t="s">
        <v>31</v>
      </c>
    </row>
    <row r="19" spans="1:23" ht="15.6" x14ac:dyDescent="0.3">
      <c r="A19" s="36"/>
      <c r="B19" s="36" t="s">
        <v>43</v>
      </c>
      <c r="C19" s="36"/>
      <c r="D19" s="36"/>
      <c r="E19" s="258"/>
      <c r="F19" s="32">
        <v>4611.51</v>
      </c>
      <c r="G19" s="32">
        <v>4289.32</v>
      </c>
      <c r="H19" s="32">
        <v>4180.12</v>
      </c>
      <c r="I19" s="32">
        <v>4865.96</v>
      </c>
      <c r="J19" s="32"/>
      <c r="K19" s="32"/>
      <c r="L19" s="32"/>
      <c r="M19" s="32"/>
      <c r="N19" s="32"/>
      <c r="O19" s="32"/>
      <c r="P19" s="32"/>
      <c r="Q19" s="32"/>
      <c r="R19" s="27">
        <f t="shared" si="3"/>
        <v>17946.91</v>
      </c>
      <c r="S19" s="27"/>
      <c r="T19" s="28">
        <v>60454</v>
      </c>
      <c r="U19" s="38">
        <f t="shared" si="2"/>
        <v>0.2968688589671486</v>
      </c>
      <c r="V19" s="34"/>
      <c r="W19" s="39"/>
    </row>
    <row r="20" spans="1:23" ht="15.6" x14ac:dyDescent="0.3">
      <c r="A20" s="36"/>
      <c r="B20" s="36" t="s">
        <v>44</v>
      </c>
      <c r="C20" s="36"/>
      <c r="D20" s="36"/>
      <c r="E20" s="258"/>
      <c r="F20" s="32">
        <v>178.02</v>
      </c>
      <c r="G20" s="32">
        <v>729.18</v>
      </c>
      <c r="H20" s="32">
        <v>85.73</v>
      </c>
      <c r="I20" s="32">
        <v>231.28</v>
      </c>
      <c r="J20" s="32"/>
      <c r="K20" s="32"/>
      <c r="L20" s="32"/>
      <c r="M20" s="32"/>
      <c r="N20" s="32"/>
      <c r="O20" s="32"/>
      <c r="P20" s="32"/>
      <c r="Q20" s="32"/>
      <c r="R20" s="27">
        <f t="shared" si="3"/>
        <v>1224.21</v>
      </c>
      <c r="S20" s="27"/>
      <c r="T20" s="28">
        <v>3970</v>
      </c>
      <c r="U20" s="38">
        <f t="shared" si="2"/>
        <v>0.30836523929471032</v>
      </c>
      <c r="V20" s="34"/>
      <c r="W20" s="39" t="s">
        <v>31</v>
      </c>
    </row>
    <row r="21" spans="1:23" ht="15.6" x14ac:dyDescent="0.3">
      <c r="A21" s="36"/>
      <c r="B21" s="36" t="s">
        <v>45</v>
      </c>
      <c r="C21" s="36"/>
      <c r="D21" s="36"/>
      <c r="E21" s="258"/>
      <c r="F21" s="32">
        <v>30.34</v>
      </c>
      <c r="G21" s="32">
        <v>97.23</v>
      </c>
      <c r="H21" s="32">
        <v>14.65</v>
      </c>
      <c r="I21" s="32">
        <v>37.74</v>
      </c>
      <c r="J21" s="32"/>
      <c r="K21" s="32"/>
      <c r="L21" s="32"/>
      <c r="M21" s="32"/>
      <c r="N21" s="32"/>
      <c r="O21" s="32"/>
      <c r="P21" s="32"/>
      <c r="Q21" s="32"/>
      <c r="R21" s="27">
        <f t="shared" si="3"/>
        <v>179.96</v>
      </c>
      <c r="S21" s="27"/>
      <c r="T21" s="28">
        <v>550</v>
      </c>
      <c r="U21" s="38">
        <f t="shared" si="2"/>
        <v>0.32719999999999999</v>
      </c>
      <c r="V21" s="34"/>
      <c r="W21" s="39" t="s">
        <v>31</v>
      </c>
    </row>
    <row r="22" spans="1:23" ht="15.6" x14ac:dyDescent="0.3">
      <c r="A22" s="36"/>
      <c r="B22" s="36" t="s">
        <v>46</v>
      </c>
      <c r="C22" s="36"/>
      <c r="D22" s="36"/>
      <c r="E22" s="258"/>
      <c r="F22" s="32">
        <v>113.28</v>
      </c>
      <c r="G22" s="32">
        <v>-135.65</v>
      </c>
      <c r="H22" s="32">
        <v>66.3</v>
      </c>
      <c r="I22" s="32">
        <v>88.77</v>
      </c>
      <c r="J22" s="32"/>
      <c r="K22" s="32"/>
      <c r="L22" s="32"/>
      <c r="M22" s="32"/>
      <c r="N22" s="32"/>
      <c r="O22" s="32"/>
      <c r="P22" s="32"/>
      <c r="Q22" s="32"/>
      <c r="R22" s="27">
        <f t="shared" si="3"/>
        <v>132.69999999999999</v>
      </c>
      <c r="S22" s="27"/>
      <c r="T22" s="28">
        <v>1550</v>
      </c>
      <c r="U22" s="38">
        <f t="shared" si="2"/>
        <v>8.5612903225806447E-2</v>
      </c>
      <c r="V22" s="34"/>
      <c r="W22" s="130" t="s">
        <v>210</v>
      </c>
    </row>
    <row r="23" spans="1:23" ht="15.6" x14ac:dyDescent="0.3">
      <c r="A23" s="57"/>
      <c r="B23" s="57" t="s">
        <v>47</v>
      </c>
      <c r="C23" s="58"/>
      <c r="D23" s="58"/>
      <c r="E23" s="261"/>
      <c r="F23" s="202">
        <v>49.95</v>
      </c>
      <c r="G23" s="202">
        <v>580.48</v>
      </c>
      <c r="H23" s="202">
        <v>49.95</v>
      </c>
      <c r="I23" s="59">
        <v>69.95</v>
      </c>
      <c r="J23" s="59"/>
      <c r="K23" s="59"/>
      <c r="L23" s="59"/>
      <c r="M23" s="59"/>
      <c r="N23" s="59"/>
      <c r="O23" s="59"/>
      <c r="P23" s="59"/>
      <c r="Q23" s="59"/>
      <c r="R23" s="27">
        <f t="shared" si="3"/>
        <v>750.33000000000015</v>
      </c>
      <c r="S23" s="60"/>
      <c r="T23" s="28">
        <v>5840</v>
      </c>
      <c r="U23" s="38">
        <f t="shared" si="2"/>
        <v>0.12848116438356166</v>
      </c>
      <c r="V23" s="61"/>
      <c r="W23" s="131" t="s">
        <v>31</v>
      </c>
    </row>
    <row r="24" spans="1:23" ht="15.6" x14ac:dyDescent="0.3">
      <c r="A24" s="36"/>
      <c r="B24" s="36" t="s">
        <v>48</v>
      </c>
      <c r="C24" s="36"/>
      <c r="D24" s="36"/>
      <c r="E24" s="258"/>
      <c r="F24" s="32">
        <v>0</v>
      </c>
      <c r="G24" s="32">
        <v>11.95</v>
      </c>
      <c r="H24" s="32"/>
      <c r="I24" s="32">
        <v>0</v>
      </c>
      <c r="J24" s="32"/>
      <c r="K24" s="32"/>
      <c r="L24" s="32"/>
      <c r="M24" s="32"/>
      <c r="N24" s="32"/>
      <c r="O24" s="32"/>
      <c r="P24" s="32"/>
      <c r="Q24" s="32"/>
      <c r="R24" s="27">
        <f t="shared" si="3"/>
        <v>11.95</v>
      </c>
      <c r="S24" s="27"/>
      <c r="T24" s="28">
        <v>3200</v>
      </c>
      <c r="U24" s="38">
        <f t="shared" si="2"/>
        <v>3.7343749999999998E-3</v>
      </c>
      <c r="V24" s="34"/>
      <c r="W24" s="39" t="s">
        <v>31</v>
      </c>
    </row>
    <row r="25" spans="1:23" ht="15.6" x14ac:dyDescent="0.3">
      <c r="A25" s="36"/>
      <c r="B25" s="36" t="s">
        <v>49</v>
      </c>
      <c r="C25" s="36"/>
      <c r="D25" s="36"/>
      <c r="E25" s="258"/>
      <c r="F25" s="32">
        <v>0</v>
      </c>
      <c r="G25" s="32">
        <v>0</v>
      </c>
      <c r="H25" s="32"/>
      <c r="I25" s="32">
        <v>0</v>
      </c>
      <c r="J25" s="32"/>
      <c r="K25" s="32"/>
      <c r="L25" s="32"/>
      <c r="M25" s="32"/>
      <c r="N25" s="32"/>
      <c r="O25" s="32"/>
      <c r="P25" s="32"/>
      <c r="Q25" s="32"/>
      <c r="R25" s="27">
        <f t="shared" ref="R25:R35" si="4">SUM(F25:Q25)</f>
        <v>0</v>
      </c>
      <c r="S25" s="27"/>
      <c r="T25" s="28">
        <v>6700</v>
      </c>
      <c r="U25" s="38">
        <f t="shared" si="2"/>
        <v>0</v>
      </c>
      <c r="V25" s="34"/>
      <c r="W25" s="39" t="s">
        <v>31</v>
      </c>
    </row>
    <row r="26" spans="1:23" ht="15.6" x14ac:dyDescent="0.3">
      <c r="A26" s="36"/>
      <c r="B26" s="36" t="s">
        <v>50</v>
      </c>
      <c r="C26" s="36"/>
      <c r="D26" s="36"/>
      <c r="E26" s="258"/>
      <c r="F26" s="32">
        <v>0</v>
      </c>
      <c r="G26" s="32">
        <v>3377</v>
      </c>
      <c r="H26" s="32">
        <v>6971.4</v>
      </c>
      <c r="I26" s="32">
        <v>0</v>
      </c>
      <c r="J26" s="32"/>
      <c r="K26" s="32"/>
      <c r="L26" s="32"/>
      <c r="M26" s="32"/>
      <c r="N26" s="32"/>
      <c r="O26" s="32"/>
      <c r="P26" s="32"/>
      <c r="Q26" s="32"/>
      <c r="R26" s="27">
        <f t="shared" si="4"/>
        <v>10348.4</v>
      </c>
      <c r="S26" s="27"/>
      <c r="T26" s="28">
        <v>17100</v>
      </c>
      <c r="U26" s="38">
        <f t="shared" si="2"/>
        <v>0.6051695906432748</v>
      </c>
      <c r="V26" s="34"/>
      <c r="W26" s="126" t="s">
        <v>31</v>
      </c>
    </row>
    <row r="27" spans="1:23" ht="15.6" x14ac:dyDescent="0.3">
      <c r="A27" s="36"/>
      <c r="B27" s="36" t="s">
        <v>51</v>
      </c>
      <c r="C27" s="36"/>
      <c r="D27" s="36"/>
      <c r="E27" s="258"/>
      <c r="F27" s="32">
        <v>802.39</v>
      </c>
      <c r="G27" s="32">
        <v>1299.3900000000001</v>
      </c>
      <c r="H27" s="32">
        <v>451.66</v>
      </c>
      <c r="I27" s="32">
        <v>8167</v>
      </c>
      <c r="J27" s="32"/>
      <c r="K27" s="32"/>
      <c r="L27" s="32"/>
      <c r="M27" s="32"/>
      <c r="N27" s="32"/>
      <c r="O27" s="32"/>
      <c r="P27" s="32"/>
      <c r="Q27" s="32"/>
      <c r="R27" s="27">
        <f t="shared" si="4"/>
        <v>10720.44</v>
      </c>
      <c r="S27" s="27"/>
      <c r="T27" s="28">
        <v>14800</v>
      </c>
      <c r="U27" s="38">
        <f t="shared" si="2"/>
        <v>0.72435405405405406</v>
      </c>
      <c r="V27" s="34"/>
      <c r="W27" s="39" t="s">
        <v>214</v>
      </c>
    </row>
    <row r="28" spans="1:23" ht="15.6" x14ac:dyDescent="0.3">
      <c r="A28" s="36"/>
      <c r="B28" s="36" t="s">
        <v>53</v>
      </c>
      <c r="C28" s="36"/>
      <c r="D28" s="36"/>
      <c r="E28" s="258"/>
      <c r="F28" s="32">
        <v>-3915.21</v>
      </c>
      <c r="G28" s="32">
        <v>-3915.21</v>
      </c>
      <c r="H28" s="32">
        <v>-6706.25</v>
      </c>
      <c r="I28" s="32">
        <v>-3930.7</v>
      </c>
      <c r="J28" s="32"/>
      <c r="K28" s="32"/>
      <c r="L28" s="32"/>
      <c r="M28" s="32"/>
      <c r="N28" s="32"/>
      <c r="O28" s="32"/>
      <c r="P28" s="32"/>
      <c r="Q28" s="32"/>
      <c r="R28" s="27">
        <f t="shared" si="4"/>
        <v>-18467.37</v>
      </c>
      <c r="S28" s="27"/>
      <c r="T28" s="28">
        <v>-54794.559999999998</v>
      </c>
      <c r="U28" s="38">
        <f>R28/T28</f>
        <v>0.33702925983893289</v>
      </c>
      <c r="V28" s="34"/>
      <c r="W28" s="39"/>
    </row>
    <row r="29" spans="1:23" ht="15.6" x14ac:dyDescent="0.3">
      <c r="A29" s="36"/>
      <c r="B29" s="36" t="s">
        <v>54</v>
      </c>
      <c r="C29" s="36"/>
      <c r="D29" s="36"/>
      <c r="E29" s="258"/>
      <c r="F29" s="32">
        <v>774.95</v>
      </c>
      <c r="G29" s="32">
        <v>774.63</v>
      </c>
      <c r="H29" s="32">
        <v>1407.2</v>
      </c>
      <c r="I29" s="32">
        <v>1405.07</v>
      </c>
      <c r="J29" s="32"/>
      <c r="K29" s="32"/>
      <c r="L29" s="32"/>
      <c r="M29" s="32"/>
      <c r="N29" s="32"/>
      <c r="O29" s="32"/>
      <c r="P29" s="32"/>
      <c r="Q29" s="32"/>
      <c r="R29" s="27">
        <f t="shared" si="4"/>
        <v>4361.8499999999995</v>
      </c>
      <c r="S29" s="27"/>
      <c r="T29" s="28">
        <v>10000</v>
      </c>
      <c r="U29" s="38">
        <f>R29/T29</f>
        <v>0.43618499999999993</v>
      </c>
      <c r="V29" s="34"/>
      <c r="W29" s="133" t="s">
        <v>218</v>
      </c>
    </row>
    <row r="30" spans="1:23" ht="15.6" x14ac:dyDescent="0.3">
      <c r="A30" s="36"/>
      <c r="B30" s="36" t="s">
        <v>55</v>
      </c>
      <c r="C30" s="36"/>
      <c r="D30" s="36"/>
      <c r="E30" s="258"/>
      <c r="F30" s="32">
        <v>93.08</v>
      </c>
      <c r="G30" s="32">
        <v>203.69</v>
      </c>
      <c r="H30" s="32">
        <v>0</v>
      </c>
      <c r="I30" s="32">
        <v>0</v>
      </c>
      <c r="J30" s="32"/>
      <c r="K30" s="32"/>
      <c r="L30" s="32"/>
      <c r="M30" s="32"/>
      <c r="N30" s="32"/>
      <c r="O30" s="32"/>
      <c r="P30" s="32"/>
      <c r="Q30" s="32"/>
      <c r="R30" s="27">
        <f t="shared" si="4"/>
        <v>296.77</v>
      </c>
      <c r="S30" s="27"/>
      <c r="T30" s="28">
        <v>4000</v>
      </c>
      <c r="U30" s="38">
        <f>R30/T30</f>
        <v>7.4192499999999995E-2</v>
      </c>
      <c r="V30" s="34"/>
      <c r="W30" s="39" t="s">
        <v>31</v>
      </c>
    </row>
    <row r="31" spans="1:23" ht="15.6" x14ac:dyDescent="0.3">
      <c r="A31" s="36"/>
      <c r="B31" s="36" t="s">
        <v>205</v>
      </c>
      <c r="C31" s="36"/>
      <c r="D31" s="36"/>
      <c r="E31" s="258"/>
      <c r="F31" s="32">
        <v>0</v>
      </c>
      <c r="G31" s="32">
        <v>0</v>
      </c>
      <c r="H31" s="32"/>
      <c r="I31" s="32">
        <v>0</v>
      </c>
      <c r="J31" s="32"/>
      <c r="K31" s="32"/>
      <c r="L31" s="32"/>
      <c r="M31" s="32"/>
      <c r="N31" s="32"/>
      <c r="O31" s="32"/>
      <c r="P31" s="32"/>
      <c r="Q31" s="32"/>
      <c r="R31" s="27">
        <f t="shared" si="4"/>
        <v>0</v>
      </c>
      <c r="S31" s="27"/>
      <c r="T31" s="28">
        <v>130</v>
      </c>
      <c r="U31" s="38">
        <f>R31/T31</f>
        <v>0</v>
      </c>
      <c r="V31" s="34"/>
      <c r="W31" s="39"/>
    </row>
    <row r="32" spans="1:23" ht="15.6" x14ac:dyDescent="0.3">
      <c r="A32" s="62"/>
      <c r="B32" s="62" t="s">
        <v>56</v>
      </c>
      <c r="C32" s="62"/>
      <c r="D32" s="62"/>
      <c r="E32" s="262"/>
      <c r="F32" s="34">
        <v>353.39</v>
      </c>
      <c r="G32" s="34">
        <v>398.81</v>
      </c>
      <c r="H32" s="34">
        <v>454.13</v>
      </c>
      <c r="I32" s="34">
        <v>360.54</v>
      </c>
      <c r="J32" s="34"/>
      <c r="K32" s="34"/>
      <c r="L32" s="34"/>
      <c r="M32" s="34"/>
      <c r="N32" s="34"/>
      <c r="O32" s="34"/>
      <c r="P32" s="34"/>
      <c r="Q32" s="34"/>
      <c r="R32" s="27">
        <f t="shared" si="4"/>
        <v>1566.87</v>
      </c>
      <c r="S32" s="27"/>
      <c r="T32" s="28">
        <v>4900</v>
      </c>
      <c r="U32" s="38">
        <f>R32/T32</f>
        <v>0.319769387755102</v>
      </c>
      <c r="V32" s="34"/>
      <c r="W32" s="63" t="s">
        <v>31</v>
      </c>
    </row>
    <row r="33" spans="1:23" ht="15.6" x14ac:dyDescent="0.3">
      <c r="A33" s="62"/>
      <c r="B33" s="62" t="s">
        <v>185</v>
      </c>
      <c r="C33" s="62"/>
      <c r="D33" s="62"/>
      <c r="E33" s="262"/>
      <c r="F33" s="34"/>
      <c r="G33" s="34">
        <v>800</v>
      </c>
      <c r="H33" s="34"/>
      <c r="I33" s="34">
        <v>0</v>
      </c>
      <c r="J33" s="34"/>
      <c r="K33" s="34"/>
      <c r="L33" s="34"/>
      <c r="M33" s="34"/>
      <c r="N33" s="34"/>
      <c r="O33" s="34"/>
      <c r="P33" s="34"/>
      <c r="Q33" s="34"/>
      <c r="R33" s="27">
        <f t="shared" si="4"/>
        <v>800</v>
      </c>
      <c r="S33" s="27"/>
      <c r="T33" s="28" t="s">
        <v>31</v>
      </c>
      <c r="U33" s="38" t="s">
        <v>31</v>
      </c>
      <c r="V33" s="34"/>
      <c r="W33" s="63" t="s">
        <v>211</v>
      </c>
    </row>
    <row r="34" spans="1:23" ht="15.6" x14ac:dyDescent="0.3">
      <c r="A34" s="30"/>
      <c r="B34" s="36" t="s">
        <v>58</v>
      </c>
      <c r="D34" s="36"/>
      <c r="E34" s="258"/>
      <c r="F34" s="32">
        <v>116.33</v>
      </c>
      <c r="G34" s="32">
        <v>128.65</v>
      </c>
      <c r="H34" s="32">
        <v>100.98</v>
      </c>
      <c r="I34" s="32">
        <v>91.8</v>
      </c>
      <c r="J34" s="32"/>
      <c r="K34" s="32"/>
      <c r="L34" s="32"/>
      <c r="M34" s="32"/>
      <c r="N34" s="32"/>
      <c r="O34" s="32"/>
      <c r="P34" s="32"/>
      <c r="Q34" s="32"/>
      <c r="R34" s="27">
        <f t="shared" si="4"/>
        <v>437.76000000000005</v>
      </c>
      <c r="S34" s="27"/>
      <c r="T34" s="28">
        <v>2900</v>
      </c>
      <c r="U34" s="38">
        <f>R34/T34</f>
        <v>0.15095172413793106</v>
      </c>
      <c r="V34" s="34"/>
      <c r="W34" s="39" t="s">
        <v>31</v>
      </c>
    </row>
    <row r="35" spans="1:23" ht="15.6" x14ac:dyDescent="0.3">
      <c r="A35" s="30"/>
      <c r="B35" s="64" t="s">
        <v>185</v>
      </c>
      <c r="C35" s="64"/>
      <c r="D35" s="64"/>
      <c r="E35" s="258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27">
        <f t="shared" si="4"/>
        <v>0</v>
      </c>
      <c r="S35" s="27"/>
      <c r="T35" s="28">
        <v>0</v>
      </c>
      <c r="U35" s="38"/>
      <c r="V35" s="66"/>
      <c r="W35" s="67" t="s">
        <v>31</v>
      </c>
    </row>
    <row r="36" spans="1:23" ht="18" thickBot="1" x14ac:dyDescent="0.35">
      <c r="A36" s="68" t="s">
        <v>59</v>
      </c>
      <c r="B36" s="69"/>
      <c r="C36" s="69"/>
      <c r="D36" s="69"/>
      <c r="E36" s="263"/>
      <c r="F36" s="203">
        <f t="shared" ref="F36:R36" si="5">SUM(F15:F35)</f>
        <v>25452.700000000004</v>
      </c>
      <c r="G36" s="203">
        <f t="shared" si="5"/>
        <v>29923.67</v>
      </c>
      <c r="H36" s="203">
        <f t="shared" si="5"/>
        <v>27636.660000000003</v>
      </c>
      <c r="I36" s="70">
        <f t="shared" si="5"/>
        <v>27946.559999999998</v>
      </c>
      <c r="J36" s="70">
        <f t="shared" si="5"/>
        <v>0</v>
      </c>
      <c r="K36" s="70">
        <f t="shared" si="5"/>
        <v>0</v>
      </c>
      <c r="L36" s="70">
        <f t="shared" si="5"/>
        <v>0</v>
      </c>
      <c r="M36" s="70">
        <f t="shared" si="5"/>
        <v>0</v>
      </c>
      <c r="N36" s="70">
        <f t="shared" si="5"/>
        <v>0</v>
      </c>
      <c r="O36" s="70">
        <f t="shared" si="5"/>
        <v>0</v>
      </c>
      <c r="P36" s="70">
        <f t="shared" si="5"/>
        <v>0</v>
      </c>
      <c r="Q36" s="70">
        <f t="shared" si="5"/>
        <v>0</v>
      </c>
      <c r="R36" s="71">
        <f t="shared" si="5"/>
        <v>110959.59000000003</v>
      </c>
      <c r="S36" s="72" t="s">
        <v>31</v>
      </c>
      <c r="T36" s="73">
        <f>SUM(T15:T35)</f>
        <v>366295</v>
      </c>
      <c r="U36" s="253">
        <f>R36/T36</f>
        <v>0.30292411853833667</v>
      </c>
      <c r="V36" s="70"/>
      <c r="W36" s="74"/>
    </row>
    <row r="37" spans="1:23" ht="18" thickBot="1" x14ac:dyDescent="0.35">
      <c r="A37" s="75" t="s">
        <v>60</v>
      </c>
      <c r="B37" s="75"/>
      <c r="C37" s="75"/>
      <c r="D37" s="75"/>
      <c r="E37" s="264"/>
      <c r="F37" s="204">
        <f>+F12-F36</f>
        <v>506.98999999999796</v>
      </c>
      <c r="G37" s="204">
        <f>+G12-G36</f>
        <v>-4464.3399999999965</v>
      </c>
      <c r="H37" s="204">
        <f>+H12-H36</f>
        <v>-5049.130000000001</v>
      </c>
      <c r="I37" s="204">
        <f>+I12-I36</f>
        <v>32107.270000000004</v>
      </c>
      <c r="J37" s="76">
        <f>J12-J36</f>
        <v>0</v>
      </c>
      <c r="K37" s="76">
        <f>K12-K36</f>
        <v>0</v>
      </c>
      <c r="L37" s="76">
        <f>+L12-L36</f>
        <v>0</v>
      </c>
      <c r="M37" s="76">
        <f>+M12-M36</f>
        <v>0</v>
      </c>
      <c r="N37" s="76">
        <f>+N12-N36</f>
        <v>0</v>
      </c>
      <c r="O37" s="76">
        <f>+O12-O36+O13</f>
        <v>0</v>
      </c>
      <c r="P37" s="76">
        <f>+P12-P36</f>
        <v>0</v>
      </c>
      <c r="Q37" s="76">
        <f>+Q12-Q36</f>
        <v>0</v>
      </c>
      <c r="R37" s="77">
        <f>+R12-R36+R13</f>
        <v>23100.789999999979</v>
      </c>
      <c r="S37" s="77"/>
      <c r="T37" s="236">
        <f>T12-T36</f>
        <v>3505</v>
      </c>
      <c r="U37" s="78">
        <f>R37/T37</f>
        <v>6.5908102710413639</v>
      </c>
      <c r="V37" s="76"/>
      <c r="W37" s="79" t="s">
        <v>31</v>
      </c>
    </row>
    <row r="40" spans="1:23" ht="15.6" x14ac:dyDescent="0.3">
      <c r="A40" s="252" t="s">
        <v>31</v>
      </c>
    </row>
  </sheetData>
  <mergeCells count="2">
    <mergeCell ref="A2:W2"/>
    <mergeCell ref="U3:U4"/>
  </mergeCells>
  <pageMargins left="0.7" right="0.7" top="0.75" bottom="0.75" header="0.3" footer="0.3"/>
  <pageSetup scale="60" orientation="landscape" r:id="rId1"/>
  <headerFooter>
    <oddHeader>&amp;C&amp;"-,Bold"&amp;14Administration and Resale Shop Combined&amp;"-,Regular"&amp;11
&amp;"-,Bold"&amp;14Statement of Activities&amp;"-,Regular"&amp;11
For four months ended October 31, 2018, 
Percentage of year expired 33.33%</oddHeader>
    <oddFooter>&amp;RPage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selection activeCell="G12" sqref="G12"/>
    </sheetView>
  </sheetViews>
  <sheetFormatPr defaultRowHeight="14.4" x14ac:dyDescent="0.3"/>
  <cols>
    <col min="7" max="7" width="10.6640625" bestFit="1" customWidth="1"/>
    <col min="9" max="9" width="12.33203125" bestFit="1" customWidth="1"/>
    <col min="11" max="11" width="11.33203125" bestFit="1" customWidth="1"/>
  </cols>
  <sheetData>
    <row r="1" spans="1:11" x14ac:dyDescent="0.3">
      <c r="A1" s="163"/>
      <c r="B1" s="163"/>
      <c r="C1" s="163"/>
      <c r="D1" s="163"/>
      <c r="E1" s="163"/>
      <c r="F1" s="163"/>
      <c r="G1" s="164"/>
      <c r="H1" s="164"/>
      <c r="I1" s="164"/>
      <c r="J1" s="164"/>
      <c r="K1" s="164"/>
    </row>
    <row r="2" spans="1:11" x14ac:dyDescent="0.3">
      <c r="A2" s="163"/>
      <c r="B2" s="163"/>
      <c r="C2" s="163"/>
      <c r="D2" s="163"/>
      <c r="E2" s="163"/>
      <c r="F2" s="163"/>
      <c r="G2" s="164"/>
      <c r="H2" s="164"/>
      <c r="I2" s="164"/>
      <c r="J2" s="164"/>
      <c r="K2" s="164"/>
    </row>
    <row r="3" spans="1:11" x14ac:dyDescent="0.3">
      <c r="A3" s="20"/>
      <c r="B3" s="20"/>
      <c r="C3" s="20"/>
      <c r="D3" s="20"/>
      <c r="E3" s="20"/>
      <c r="F3" s="20"/>
      <c r="G3" s="20" t="s">
        <v>219</v>
      </c>
      <c r="H3" s="165"/>
      <c r="I3" s="20" t="s">
        <v>220</v>
      </c>
      <c r="J3" s="165"/>
      <c r="K3" s="20" t="s">
        <v>73</v>
      </c>
    </row>
    <row r="4" spans="1:11" x14ac:dyDescent="0.3">
      <c r="A4" s="163" t="s">
        <v>74</v>
      </c>
      <c r="B4" s="163"/>
      <c r="C4" s="163"/>
      <c r="D4" s="163"/>
      <c r="E4" s="163"/>
      <c r="F4" s="163"/>
      <c r="G4" s="166"/>
      <c r="H4" s="167"/>
      <c r="I4" s="166"/>
      <c r="J4" s="167"/>
      <c r="K4" s="166"/>
    </row>
    <row r="5" spans="1:11" x14ac:dyDescent="0.3">
      <c r="A5" s="163"/>
      <c r="B5" s="167" t="s">
        <v>75</v>
      </c>
      <c r="C5" s="167"/>
      <c r="D5" s="168"/>
      <c r="E5" s="167"/>
      <c r="F5" s="167"/>
      <c r="G5" s="166">
        <v>60525.59</v>
      </c>
      <c r="H5" s="167"/>
      <c r="I5" s="166">
        <v>46444.86</v>
      </c>
      <c r="J5" s="167"/>
      <c r="K5" s="166">
        <f>ROUND((G5-I5),5)</f>
        <v>14080.73</v>
      </c>
    </row>
    <row r="6" spans="1:11" x14ac:dyDescent="0.3">
      <c r="A6" s="163"/>
      <c r="B6" s="167" t="s">
        <v>143</v>
      </c>
      <c r="C6" s="167"/>
      <c r="D6" s="168"/>
      <c r="E6" s="167"/>
      <c r="F6" s="167"/>
      <c r="G6" s="169">
        <v>100025.48</v>
      </c>
      <c r="H6" s="170"/>
      <c r="I6" s="169">
        <v>100025.48</v>
      </c>
      <c r="J6" s="170"/>
      <c r="K6" s="169">
        <f>ROUND((G6-I6),5)</f>
        <v>0</v>
      </c>
    </row>
    <row r="7" spans="1:11" x14ac:dyDescent="0.3">
      <c r="A7" s="163"/>
      <c r="B7" s="167" t="s">
        <v>137</v>
      </c>
      <c r="C7" s="167"/>
      <c r="D7" s="168"/>
      <c r="E7" s="167"/>
      <c r="F7" s="167"/>
      <c r="G7" s="169">
        <v>201821.78</v>
      </c>
      <c r="H7" s="170"/>
      <c r="I7" s="169">
        <v>317719.27</v>
      </c>
      <c r="J7" s="170"/>
      <c r="K7" s="169">
        <f>ROUND((G7-I7),5)</f>
        <v>-115897.49</v>
      </c>
    </row>
    <row r="8" spans="1:11" x14ac:dyDescent="0.3">
      <c r="A8" s="163"/>
      <c r="B8" s="167" t="s">
        <v>76</v>
      </c>
      <c r="C8" s="167"/>
      <c r="D8" s="168"/>
      <c r="E8" s="167"/>
      <c r="F8" s="167"/>
      <c r="G8" s="169">
        <v>26048.04</v>
      </c>
      <c r="H8" s="170"/>
      <c r="I8" s="169">
        <v>25801.599999999999</v>
      </c>
      <c r="J8" s="170"/>
      <c r="K8" s="169">
        <f>+G8-I8</f>
        <v>246.44000000000233</v>
      </c>
    </row>
    <row r="9" spans="1:11" hidden="1" x14ac:dyDescent="0.3">
      <c r="A9" s="163"/>
      <c r="B9" s="167" t="s">
        <v>152</v>
      </c>
      <c r="C9" s="167"/>
      <c r="D9" s="168"/>
      <c r="E9" s="167"/>
      <c r="F9" s="167"/>
      <c r="G9" s="169">
        <v>0</v>
      </c>
      <c r="H9" s="170"/>
      <c r="I9" s="169">
        <v>0</v>
      </c>
      <c r="J9" s="170"/>
      <c r="K9" s="169">
        <f>+G9-I9</f>
        <v>0</v>
      </c>
    </row>
    <row r="10" spans="1:11" x14ac:dyDescent="0.3">
      <c r="A10" s="163"/>
      <c r="B10" s="167" t="s">
        <v>192</v>
      </c>
      <c r="C10" s="167"/>
      <c r="D10" s="168"/>
      <c r="E10" s="167"/>
      <c r="F10" s="167"/>
      <c r="G10" s="169">
        <v>0</v>
      </c>
      <c r="H10" s="170"/>
      <c r="I10" s="169">
        <v>0</v>
      </c>
      <c r="J10" s="170"/>
      <c r="K10" s="169">
        <f>+G10-I10</f>
        <v>0</v>
      </c>
    </row>
    <row r="11" spans="1:11" x14ac:dyDescent="0.3">
      <c r="A11" s="163"/>
      <c r="B11" s="167" t="s">
        <v>77</v>
      </c>
      <c r="C11" s="167"/>
      <c r="D11" s="168"/>
      <c r="E11" s="167"/>
      <c r="F11" s="167"/>
      <c r="G11" s="169">
        <v>149658.5</v>
      </c>
      <c r="H11" s="170"/>
      <c r="I11" s="169">
        <v>11434.05</v>
      </c>
      <c r="J11" s="170"/>
      <c r="K11" s="169">
        <f t="shared" ref="K11:K23" si="0">ROUND((G11-I11),5)</f>
        <v>138224.45000000001</v>
      </c>
    </row>
    <row r="12" spans="1:11" x14ac:dyDescent="0.3">
      <c r="A12" s="163"/>
      <c r="B12" s="171" t="s">
        <v>78</v>
      </c>
      <c r="C12" s="167"/>
      <c r="D12" s="168"/>
      <c r="E12" s="171"/>
      <c r="F12" s="171"/>
      <c r="G12" s="166">
        <v>200</v>
      </c>
      <c r="H12" s="167"/>
      <c r="I12" s="166">
        <v>200</v>
      </c>
      <c r="J12" s="167"/>
      <c r="K12" s="169">
        <f t="shared" si="0"/>
        <v>0</v>
      </c>
    </row>
    <row r="13" spans="1:11" x14ac:dyDescent="0.3">
      <c r="A13" s="163"/>
      <c r="B13" s="171" t="s">
        <v>150</v>
      </c>
      <c r="C13" s="167"/>
      <c r="D13" s="168"/>
      <c r="E13" s="171"/>
      <c r="F13" s="171"/>
      <c r="G13" s="166">
        <v>42098.22</v>
      </c>
      <c r="H13" s="167"/>
      <c r="I13" s="166">
        <v>50542</v>
      </c>
      <c r="J13" s="167"/>
      <c r="K13" s="169">
        <f t="shared" si="0"/>
        <v>-8443.7800000000007</v>
      </c>
    </row>
    <row r="14" spans="1:11" x14ac:dyDescent="0.3">
      <c r="A14" s="163"/>
      <c r="B14" s="171" t="s">
        <v>79</v>
      </c>
      <c r="C14" s="167"/>
      <c r="D14" s="168"/>
      <c r="E14" s="171"/>
      <c r="F14" s="171"/>
      <c r="G14" s="166">
        <v>3250</v>
      </c>
      <c r="H14" s="167"/>
      <c r="I14" s="166">
        <v>3250</v>
      </c>
      <c r="J14" s="167"/>
      <c r="K14" s="169">
        <f t="shared" si="0"/>
        <v>0</v>
      </c>
    </row>
    <row r="15" spans="1:11" x14ac:dyDescent="0.3">
      <c r="A15" s="172"/>
      <c r="B15" s="173" t="s">
        <v>186</v>
      </c>
      <c r="C15" s="173"/>
      <c r="D15" s="174"/>
      <c r="E15" s="173"/>
      <c r="F15" s="173"/>
      <c r="G15" s="175">
        <v>0</v>
      </c>
      <c r="H15" s="173"/>
      <c r="I15" s="175">
        <v>0</v>
      </c>
      <c r="J15" s="173"/>
      <c r="K15" s="175">
        <f t="shared" si="0"/>
        <v>0</v>
      </c>
    </row>
    <row r="16" spans="1:11" x14ac:dyDescent="0.3">
      <c r="A16" s="176"/>
      <c r="B16" s="176" t="s">
        <v>80</v>
      </c>
      <c r="C16" s="176"/>
      <c r="D16" s="176"/>
      <c r="E16" s="176"/>
      <c r="F16" s="176"/>
      <c r="G16" s="217">
        <f>SUM(G5:G15)</f>
        <v>583627.60999999987</v>
      </c>
      <c r="H16" s="178"/>
      <c r="I16" s="177">
        <f>SUM(I5:I15)</f>
        <v>555417.26</v>
      </c>
      <c r="J16" s="178"/>
      <c r="K16" s="177">
        <f t="shared" si="0"/>
        <v>28210.35</v>
      </c>
    </row>
    <row r="17" spans="1:11" x14ac:dyDescent="0.3">
      <c r="A17" s="219"/>
      <c r="B17" s="170" t="s">
        <v>222</v>
      </c>
      <c r="C17" s="219"/>
      <c r="D17" s="219"/>
      <c r="E17" s="219"/>
      <c r="F17" s="219"/>
      <c r="G17" s="223">
        <v>30083.11</v>
      </c>
      <c r="H17" s="170"/>
      <c r="I17" s="169">
        <v>0</v>
      </c>
      <c r="J17" s="170"/>
      <c r="K17" s="169">
        <f t="shared" si="0"/>
        <v>30083.11</v>
      </c>
    </row>
    <row r="18" spans="1:11" x14ac:dyDescent="0.3">
      <c r="A18" s="219"/>
      <c r="B18" s="222" t="s">
        <v>153</v>
      </c>
      <c r="C18" s="224"/>
      <c r="D18" s="225"/>
      <c r="E18" s="225"/>
      <c r="F18" s="225"/>
      <c r="G18" s="223">
        <v>42464</v>
      </c>
      <c r="H18" s="170"/>
      <c r="I18" s="223">
        <v>42464</v>
      </c>
      <c r="J18" s="170"/>
      <c r="K18" s="169">
        <f t="shared" si="0"/>
        <v>0</v>
      </c>
    </row>
    <row r="19" spans="1:11" x14ac:dyDescent="0.3">
      <c r="A19" s="219"/>
      <c r="B19" s="222" t="s">
        <v>168</v>
      </c>
      <c r="C19" s="222"/>
      <c r="D19" s="222"/>
      <c r="E19" s="222"/>
      <c r="F19" s="222"/>
      <c r="G19" s="223">
        <v>1500</v>
      </c>
      <c r="H19" s="170"/>
      <c r="I19" s="223">
        <v>1500</v>
      </c>
      <c r="J19" s="170"/>
      <c r="K19" s="169">
        <f t="shared" si="0"/>
        <v>0</v>
      </c>
    </row>
    <row r="20" spans="1:11" x14ac:dyDescent="0.3">
      <c r="A20" s="219"/>
      <c r="B20" s="222" t="s">
        <v>169</v>
      </c>
      <c r="C20" s="222"/>
      <c r="D20" s="222"/>
      <c r="E20" s="222"/>
      <c r="F20" s="222"/>
      <c r="G20" s="223">
        <v>1500</v>
      </c>
      <c r="H20" s="170"/>
      <c r="I20" s="223">
        <v>1500</v>
      </c>
      <c r="J20" s="170"/>
      <c r="K20" s="169">
        <f t="shared" si="0"/>
        <v>0</v>
      </c>
    </row>
    <row r="21" spans="1:11" x14ac:dyDescent="0.3">
      <c r="A21" s="179"/>
      <c r="B21" s="272" t="s">
        <v>81</v>
      </c>
      <c r="C21" s="272"/>
      <c r="D21" s="272"/>
      <c r="E21" s="272"/>
      <c r="F21" s="272"/>
      <c r="G21" s="217">
        <v>-27233.02</v>
      </c>
      <c r="H21" s="178"/>
      <c r="I21" s="217">
        <v>-16337.92</v>
      </c>
      <c r="J21" s="178"/>
      <c r="K21" s="177">
        <f t="shared" si="0"/>
        <v>-10895.1</v>
      </c>
    </row>
    <row r="22" spans="1:11" x14ac:dyDescent="0.3">
      <c r="A22" s="179"/>
    </row>
    <row r="23" spans="1:11" x14ac:dyDescent="0.3">
      <c r="A23" s="179"/>
      <c r="B23" s="273" t="s">
        <v>221</v>
      </c>
      <c r="C23" s="273"/>
      <c r="D23" s="273"/>
      <c r="E23" s="273"/>
      <c r="F23" s="273"/>
      <c r="G23" s="181">
        <f>SUM(G17:G21)</f>
        <v>48314.09</v>
      </c>
      <c r="H23" s="180"/>
      <c r="I23" s="218">
        <f>SUM(I17:I21)</f>
        <v>29126.080000000002</v>
      </c>
      <c r="J23" s="180"/>
      <c r="K23" s="177">
        <f t="shared" si="0"/>
        <v>19188.009999999998</v>
      </c>
    </row>
    <row r="24" spans="1:11" ht="15" thickBot="1" x14ac:dyDescent="0.35">
      <c r="A24" s="182" t="s">
        <v>82</v>
      </c>
      <c r="B24" s="182"/>
      <c r="C24" s="182"/>
      <c r="D24" s="182"/>
      <c r="E24" s="182"/>
      <c r="F24" s="182"/>
      <c r="G24" s="183">
        <f>+G16+G23</f>
        <v>631941.69999999984</v>
      </c>
      <c r="H24" s="183"/>
      <c r="I24" s="183">
        <f>+I16+I23</f>
        <v>584543.34</v>
      </c>
      <c r="J24" s="182"/>
      <c r="K24" s="183">
        <f>ROUND((G24-I24),5)</f>
        <v>47398.36</v>
      </c>
    </row>
    <row r="25" spans="1:11" ht="15" thickTop="1" x14ac:dyDescent="0.3">
      <c r="A25" s="163" t="s">
        <v>83</v>
      </c>
      <c r="B25" s="163"/>
      <c r="C25" s="163"/>
      <c r="D25" s="163"/>
      <c r="E25" s="163"/>
      <c r="F25" s="163"/>
      <c r="G25" s="166"/>
      <c r="H25" s="170"/>
      <c r="I25" s="166"/>
      <c r="J25" s="167"/>
      <c r="K25" s="166"/>
    </row>
    <row r="26" spans="1:11" x14ac:dyDescent="0.3">
      <c r="A26" s="163"/>
      <c r="B26" s="163" t="s">
        <v>155</v>
      </c>
      <c r="C26" s="163"/>
      <c r="D26" s="163"/>
      <c r="E26" s="163"/>
      <c r="F26" s="163"/>
      <c r="G26" s="166"/>
      <c r="H26" s="167"/>
      <c r="I26" s="166"/>
      <c r="J26" s="167"/>
      <c r="K26" s="166"/>
    </row>
    <row r="27" spans="1:11" x14ac:dyDescent="0.3">
      <c r="A27" s="163"/>
      <c r="B27" s="163"/>
      <c r="C27" s="167" t="s">
        <v>84</v>
      </c>
      <c r="D27" s="167"/>
      <c r="E27" s="168"/>
      <c r="F27" s="167"/>
      <c r="G27" s="169">
        <v>8604.75</v>
      </c>
      <c r="H27" s="170"/>
      <c r="I27" s="169">
        <v>11457.51</v>
      </c>
      <c r="J27" s="170"/>
      <c r="K27" s="169">
        <f t="shared" ref="K27:K41" si="1">ROUND((G27-I27),5)</f>
        <v>-2852.76</v>
      </c>
    </row>
    <row r="28" spans="1:11" x14ac:dyDescent="0.3">
      <c r="A28" s="163"/>
      <c r="B28" s="163"/>
      <c r="C28" s="167" t="s">
        <v>188</v>
      </c>
      <c r="D28" s="167"/>
      <c r="E28" s="168"/>
      <c r="F28" s="167"/>
      <c r="G28" s="169">
        <v>5111.7299999999996</v>
      </c>
      <c r="H28" s="170"/>
      <c r="I28" s="169">
        <v>0</v>
      </c>
      <c r="J28" s="170"/>
      <c r="K28" s="169">
        <f t="shared" si="1"/>
        <v>5111.7299999999996</v>
      </c>
    </row>
    <row r="29" spans="1:11" x14ac:dyDescent="0.3">
      <c r="A29" s="163"/>
      <c r="B29" s="163"/>
      <c r="C29" s="167" t="s">
        <v>154</v>
      </c>
      <c r="D29" s="167"/>
      <c r="E29" s="168"/>
      <c r="F29" s="167"/>
      <c r="G29" s="169">
        <v>7935.14</v>
      </c>
      <c r="H29" s="170"/>
      <c r="I29" s="169">
        <v>8389.66</v>
      </c>
      <c r="J29" s="170"/>
      <c r="K29" s="169">
        <f t="shared" si="1"/>
        <v>-454.52</v>
      </c>
    </row>
    <row r="30" spans="1:11" x14ac:dyDescent="0.3">
      <c r="A30" s="163"/>
      <c r="B30" s="163"/>
      <c r="C30" s="167" t="s">
        <v>85</v>
      </c>
      <c r="D30" s="167"/>
      <c r="E30" s="168"/>
      <c r="F30" s="167"/>
      <c r="G30" s="166">
        <v>1276.55</v>
      </c>
      <c r="H30" s="167"/>
      <c r="I30" s="166">
        <v>2937.46</v>
      </c>
      <c r="J30" s="167"/>
      <c r="K30" s="169">
        <f t="shared" si="1"/>
        <v>-1660.91</v>
      </c>
    </row>
    <row r="31" spans="1:11" x14ac:dyDescent="0.3">
      <c r="A31" s="163"/>
      <c r="B31" s="163"/>
      <c r="C31" s="167" t="s">
        <v>86</v>
      </c>
      <c r="D31" s="167"/>
      <c r="E31" s="168"/>
      <c r="F31" s="167"/>
      <c r="G31" s="166">
        <v>2091.35</v>
      </c>
      <c r="H31" s="167"/>
      <c r="I31" s="166">
        <v>-1804.21</v>
      </c>
      <c r="J31" s="167"/>
      <c r="K31" s="169">
        <f t="shared" si="1"/>
        <v>3895.56</v>
      </c>
    </row>
    <row r="32" spans="1:11" x14ac:dyDescent="0.3">
      <c r="A32" s="172"/>
      <c r="B32" s="172"/>
      <c r="C32" s="173" t="s">
        <v>87</v>
      </c>
      <c r="D32" s="173"/>
      <c r="E32" s="174"/>
      <c r="F32" s="173"/>
      <c r="G32" s="175">
        <v>31274.54</v>
      </c>
      <c r="H32" s="173"/>
      <c r="I32" s="175">
        <v>29246.13</v>
      </c>
      <c r="J32" s="173"/>
      <c r="K32" s="169">
        <f t="shared" si="1"/>
        <v>2028.41</v>
      </c>
    </row>
    <row r="33" spans="1:11" x14ac:dyDescent="0.3">
      <c r="A33" s="176"/>
      <c r="B33" s="176"/>
      <c r="C33" s="176" t="s">
        <v>88</v>
      </c>
      <c r="D33" s="176"/>
      <c r="E33" s="176"/>
      <c r="F33" s="176"/>
      <c r="G33" s="177">
        <f>SUM(G27:G32)</f>
        <v>56294.06</v>
      </c>
      <c r="H33" s="177"/>
      <c r="I33" s="177">
        <f>SUM(I27:I32)</f>
        <v>50226.55</v>
      </c>
      <c r="J33" s="178"/>
      <c r="K33" s="177">
        <f t="shared" si="1"/>
        <v>6067.51</v>
      </c>
    </row>
    <row r="34" spans="1:11" x14ac:dyDescent="0.3">
      <c r="A34" s="219"/>
      <c r="B34" s="219"/>
      <c r="C34" s="219"/>
      <c r="D34" s="219"/>
      <c r="E34" s="219"/>
      <c r="F34" s="219"/>
      <c r="G34" s="169"/>
      <c r="H34" s="169"/>
      <c r="I34" s="169"/>
      <c r="J34" s="170"/>
      <c r="K34" s="169"/>
    </row>
    <row r="35" spans="1:11" x14ac:dyDescent="0.3">
      <c r="A35" s="219"/>
      <c r="B35" s="219" t="s">
        <v>156</v>
      </c>
      <c r="C35" s="219"/>
      <c r="D35" s="219"/>
      <c r="E35" s="219"/>
      <c r="F35" s="219"/>
      <c r="G35" s="169"/>
      <c r="H35" s="169"/>
      <c r="I35" s="169"/>
      <c r="J35" s="170"/>
      <c r="K35" s="169"/>
    </row>
    <row r="36" spans="1:11" x14ac:dyDescent="0.3">
      <c r="A36" s="219"/>
      <c r="B36" s="219"/>
      <c r="C36" s="170" t="s">
        <v>157</v>
      </c>
      <c r="D36" s="219"/>
      <c r="E36" s="219"/>
      <c r="F36" s="219"/>
      <c r="G36" s="169">
        <v>10074.75</v>
      </c>
      <c r="H36" s="169"/>
      <c r="I36" s="169">
        <v>17361.810000000001</v>
      </c>
      <c r="J36" s="170"/>
      <c r="K36" s="169">
        <f t="shared" si="1"/>
        <v>-7287.06</v>
      </c>
    </row>
    <row r="37" spans="1:11" x14ac:dyDescent="0.3">
      <c r="A37" s="176"/>
      <c r="B37" s="176"/>
      <c r="C37" s="176" t="s">
        <v>158</v>
      </c>
      <c r="D37" s="176"/>
      <c r="E37" s="176"/>
      <c r="F37" s="176"/>
      <c r="G37" s="177">
        <f>SUM(G36)</f>
        <v>10074.75</v>
      </c>
      <c r="H37" s="177"/>
      <c r="I37" s="177">
        <f>+I36</f>
        <v>17361.810000000001</v>
      </c>
      <c r="J37" s="178"/>
      <c r="K37" s="177">
        <f t="shared" ref="K37" si="2">ROUND((G37-I37),5)</f>
        <v>-7287.06</v>
      </c>
    </row>
    <row r="38" spans="1:11" x14ac:dyDescent="0.3">
      <c r="A38" s="219"/>
      <c r="B38" s="219"/>
      <c r="C38" s="219"/>
      <c r="D38" s="219"/>
      <c r="E38" s="219"/>
      <c r="F38" s="219"/>
      <c r="G38" s="169"/>
      <c r="H38" s="169"/>
      <c r="I38" s="169"/>
      <c r="J38" s="170"/>
      <c r="K38" s="169"/>
    </row>
    <row r="39" spans="1:11" x14ac:dyDescent="0.3">
      <c r="A39" s="219"/>
      <c r="B39" s="219"/>
      <c r="C39" s="219"/>
      <c r="D39" s="219"/>
      <c r="E39" s="219"/>
      <c r="F39" s="219"/>
      <c r="G39" s="169"/>
      <c r="H39" s="169"/>
      <c r="I39" s="169"/>
      <c r="J39" s="170"/>
      <c r="K39" s="169"/>
    </row>
    <row r="40" spans="1:11" x14ac:dyDescent="0.3">
      <c r="A40" s="163"/>
      <c r="B40" s="163"/>
      <c r="C40" s="167" t="s">
        <v>89</v>
      </c>
      <c r="D40" s="167"/>
      <c r="E40" s="168"/>
      <c r="F40" s="167"/>
      <c r="G40" s="166">
        <v>0</v>
      </c>
      <c r="H40" s="167"/>
      <c r="I40" s="166">
        <v>0</v>
      </c>
      <c r="J40" s="167"/>
      <c r="K40" s="169">
        <f t="shared" si="1"/>
        <v>0</v>
      </c>
    </row>
    <row r="41" spans="1:11" x14ac:dyDescent="0.3">
      <c r="A41" s="176"/>
      <c r="B41" s="176" t="s">
        <v>90</v>
      </c>
      <c r="C41" s="176"/>
      <c r="D41" s="176"/>
      <c r="E41" s="176"/>
      <c r="F41" s="176"/>
      <c r="G41" s="177">
        <f>+G33+G37+G40</f>
        <v>66368.81</v>
      </c>
      <c r="H41" s="177"/>
      <c r="I41" s="177">
        <f>+I33+I37+I40</f>
        <v>67588.36</v>
      </c>
      <c r="J41" s="178"/>
      <c r="K41" s="177">
        <f t="shared" si="1"/>
        <v>-1219.55</v>
      </c>
    </row>
    <row r="42" spans="1:11" x14ac:dyDescent="0.3">
      <c r="A42" s="163"/>
      <c r="B42" s="163" t="s">
        <v>91</v>
      </c>
      <c r="C42" s="163"/>
      <c r="D42" s="163"/>
      <c r="E42" s="163"/>
      <c r="F42" s="163"/>
      <c r="G42" s="166"/>
      <c r="H42" s="167"/>
      <c r="I42" s="166"/>
      <c r="J42" s="167"/>
      <c r="K42" s="166"/>
    </row>
    <row r="43" spans="1:11" x14ac:dyDescent="0.3">
      <c r="A43" s="163"/>
      <c r="B43" s="163"/>
      <c r="C43" s="163" t="s">
        <v>92</v>
      </c>
      <c r="D43" s="163"/>
      <c r="E43" s="163"/>
      <c r="F43" s="163"/>
      <c r="G43" s="166">
        <v>0</v>
      </c>
      <c r="H43" s="167"/>
      <c r="I43" s="166">
        <v>0</v>
      </c>
      <c r="J43" s="167"/>
      <c r="K43" s="166">
        <f t="shared" ref="K43:K48" si="3">ROUND((G43-I43),5)</f>
        <v>0</v>
      </c>
    </row>
    <row r="44" spans="1:11" x14ac:dyDescent="0.3">
      <c r="A44" s="163"/>
      <c r="B44" s="163"/>
      <c r="C44" s="167" t="s">
        <v>200</v>
      </c>
      <c r="D44" s="167"/>
      <c r="E44" s="167"/>
      <c r="F44" s="167"/>
      <c r="G44" s="166">
        <v>344838.71</v>
      </c>
      <c r="H44" s="167"/>
      <c r="I44" s="166">
        <v>360224.67</v>
      </c>
      <c r="J44" s="167"/>
      <c r="K44" s="166">
        <f t="shared" si="3"/>
        <v>-15385.96</v>
      </c>
    </row>
    <row r="45" spans="1:11" x14ac:dyDescent="0.3">
      <c r="A45" s="163"/>
      <c r="B45" s="163"/>
      <c r="C45" s="167" t="s">
        <v>201</v>
      </c>
      <c r="D45" s="167"/>
      <c r="E45" s="167"/>
      <c r="F45" s="167"/>
      <c r="G45" s="166">
        <v>83505.53</v>
      </c>
      <c r="H45" s="167"/>
      <c r="I45" s="166">
        <v>82642.880000000005</v>
      </c>
      <c r="J45" s="167"/>
      <c r="K45" s="166">
        <f t="shared" si="3"/>
        <v>862.65</v>
      </c>
    </row>
    <row r="46" spans="1:11" x14ac:dyDescent="0.3">
      <c r="A46" s="172"/>
      <c r="B46" s="172"/>
      <c r="C46" s="173" t="s">
        <v>93</v>
      </c>
      <c r="D46" s="173"/>
      <c r="E46" s="173"/>
      <c r="F46" s="173"/>
      <c r="G46" s="175">
        <v>137228.65</v>
      </c>
      <c r="H46" s="173"/>
      <c r="I46" s="175">
        <v>74087.429999999993</v>
      </c>
      <c r="J46" s="173"/>
      <c r="K46" s="175">
        <f t="shared" si="3"/>
        <v>63141.22</v>
      </c>
    </row>
    <row r="47" spans="1:11" x14ac:dyDescent="0.3">
      <c r="A47" s="176"/>
      <c r="B47" s="176" t="s">
        <v>94</v>
      </c>
      <c r="C47" s="176"/>
      <c r="D47" s="176"/>
      <c r="E47" s="176"/>
      <c r="F47" s="176"/>
      <c r="G47" s="177">
        <f>SUM(G44:G46)</f>
        <v>565572.89</v>
      </c>
      <c r="H47" s="178"/>
      <c r="I47" s="177">
        <f>SUM(I44:I46)</f>
        <v>516954.98</v>
      </c>
      <c r="J47" s="178"/>
      <c r="K47" s="177">
        <f t="shared" si="3"/>
        <v>48617.91</v>
      </c>
    </row>
    <row r="48" spans="1:11" ht="15" thickBot="1" x14ac:dyDescent="0.35">
      <c r="A48" s="182" t="s">
        <v>95</v>
      </c>
      <c r="B48" s="182"/>
      <c r="C48" s="182"/>
      <c r="D48" s="182"/>
      <c r="E48" s="182"/>
      <c r="F48" s="182"/>
      <c r="G48" s="183">
        <f>+G41+G47</f>
        <v>631941.69999999995</v>
      </c>
      <c r="H48" s="182"/>
      <c r="I48" s="183">
        <f>+I41+I47</f>
        <v>584543.34</v>
      </c>
      <c r="J48" s="182"/>
      <c r="K48" s="183">
        <f t="shared" si="3"/>
        <v>47398.36</v>
      </c>
    </row>
    <row r="49" spans="1:11" ht="15" thickTop="1" x14ac:dyDescent="0.3">
      <c r="A49" s="184"/>
      <c r="B49" s="184"/>
      <c r="C49" s="184"/>
      <c r="D49" s="184"/>
      <c r="E49" s="184"/>
      <c r="F49" s="184"/>
      <c r="G49" s="185"/>
      <c r="H49" s="185"/>
      <c r="I49" s="185"/>
      <c r="J49" s="185"/>
      <c r="K49" s="185"/>
    </row>
  </sheetData>
  <mergeCells count="2">
    <mergeCell ref="B21:F21"/>
    <mergeCell ref="B23:F23"/>
  </mergeCells>
  <pageMargins left="0.7" right="0.7" top="0.75" bottom="0.75" header="0.3" footer="0.3"/>
  <pageSetup scale="73" orientation="landscape" r:id="rId1"/>
  <headerFooter>
    <oddHeader>&amp;CThe Community Partnership
Comparative Statement of Financial Position
for four months ending October 31, 2018 and October 31, 2017</oddHeader>
    <oddFooter>&amp;RPage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1"/>
  <sheetViews>
    <sheetView workbookViewId="0">
      <selection activeCell="H15" sqref="H15:H16"/>
    </sheetView>
  </sheetViews>
  <sheetFormatPr defaultRowHeight="14.4" x14ac:dyDescent="0.3"/>
  <cols>
    <col min="1" max="1" width="5.6640625" customWidth="1"/>
    <col min="3" max="3" width="22.33203125" customWidth="1"/>
    <col min="5" max="5" width="33.109375" bestFit="1" customWidth="1"/>
    <col min="6" max="6" width="20.5546875" hidden="1" customWidth="1"/>
    <col min="7" max="7" width="20.5546875" customWidth="1"/>
    <col min="8" max="8" width="27" customWidth="1"/>
  </cols>
  <sheetData>
    <row r="2" spans="1:8" x14ac:dyDescent="0.3">
      <c r="H2" s="216" t="s">
        <v>146</v>
      </c>
    </row>
    <row r="3" spans="1:8" ht="15" thickBot="1" x14ac:dyDescent="0.35">
      <c r="A3" s="186"/>
      <c r="B3" s="186"/>
      <c r="C3" s="186"/>
      <c r="D3" s="186"/>
      <c r="E3" s="186"/>
      <c r="F3" s="187" t="s">
        <v>138</v>
      </c>
      <c r="G3" s="187" t="s">
        <v>223</v>
      </c>
      <c r="H3" s="187" t="s">
        <v>203</v>
      </c>
    </row>
    <row r="4" spans="1:8" ht="15" thickTop="1" x14ac:dyDescent="0.3">
      <c r="A4" s="163"/>
      <c r="B4" s="163"/>
      <c r="C4" s="163" t="s">
        <v>96</v>
      </c>
      <c r="D4" s="163"/>
      <c r="E4" s="163"/>
      <c r="F4" s="166"/>
      <c r="G4" s="166"/>
      <c r="H4" s="166"/>
    </row>
    <row r="5" spans="1:8" x14ac:dyDescent="0.3">
      <c r="A5" s="163"/>
      <c r="B5" s="163"/>
      <c r="C5" s="163"/>
      <c r="D5" s="163" t="s">
        <v>97</v>
      </c>
      <c r="E5" s="163"/>
      <c r="F5" s="166">
        <v>36885.43</v>
      </c>
      <c r="G5" s="166">
        <v>87897.33</v>
      </c>
      <c r="H5" s="166">
        <v>137123.65</v>
      </c>
    </row>
    <row r="6" spans="1:8" x14ac:dyDescent="0.3">
      <c r="A6" s="163"/>
      <c r="B6" s="163" t="s">
        <v>98</v>
      </c>
      <c r="C6" s="163"/>
      <c r="D6" s="184"/>
      <c r="E6" s="163"/>
      <c r="F6" s="166"/>
      <c r="G6" s="166"/>
      <c r="H6" s="166"/>
    </row>
    <row r="7" spans="1:8" x14ac:dyDescent="0.3">
      <c r="A7" s="163"/>
      <c r="B7" s="163"/>
      <c r="C7" s="163" t="s">
        <v>99</v>
      </c>
      <c r="D7" s="184"/>
      <c r="E7" s="163"/>
      <c r="F7" s="166"/>
      <c r="G7" s="166"/>
      <c r="H7" s="166"/>
    </row>
    <row r="8" spans="1:8" x14ac:dyDescent="0.3">
      <c r="A8" s="163"/>
      <c r="B8" s="163"/>
      <c r="C8" s="163"/>
      <c r="D8" s="163"/>
      <c r="E8" s="163" t="s">
        <v>77</v>
      </c>
      <c r="F8" s="166">
        <v>-10940.53</v>
      </c>
      <c r="G8" s="166">
        <v>-89415.88</v>
      </c>
      <c r="H8" s="166">
        <v>-64941.99</v>
      </c>
    </row>
    <row r="9" spans="1:8" x14ac:dyDescent="0.3">
      <c r="A9" s="163"/>
      <c r="B9" s="163"/>
      <c r="C9" s="163"/>
      <c r="D9" s="163"/>
      <c r="E9" s="163" t="s">
        <v>132</v>
      </c>
      <c r="F9" s="166">
        <v>2633.78</v>
      </c>
      <c r="G9" s="166">
        <v>0</v>
      </c>
      <c r="H9" s="166">
        <v>9363.98</v>
      </c>
    </row>
    <row r="10" spans="1:8" x14ac:dyDescent="0.3">
      <c r="A10" s="163"/>
      <c r="B10" s="163"/>
      <c r="C10" s="163"/>
      <c r="D10" s="163"/>
      <c r="E10" s="163" t="s">
        <v>186</v>
      </c>
      <c r="F10" s="166"/>
      <c r="G10" s="166">
        <v>0</v>
      </c>
      <c r="H10" s="166">
        <v>6195</v>
      </c>
    </row>
    <row r="11" spans="1:8" x14ac:dyDescent="0.3">
      <c r="A11" s="163"/>
      <c r="B11" s="163"/>
      <c r="C11" s="163"/>
      <c r="D11" s="163"/>
      <c r="E11" s="163" t="s">
        <v>84</v>
      </c>
      <c r="F11" s="166">
        <v>1090.99</v>
      </c>
      <c r="G11" s="166">
        <v>-13501.37</v>
      </c>
      <c r="H11" s="166">
        <v>-39159.03</v>
      </c>
    </row>
    <row r="12" spans="1:8" x14ac:dyDescent="0.3">
      <c r="A12" s="163"/>
      <c r="B12" s="163"/>
      <c r="C12" s="163"/>
      <c r="D12" s="163"/>
      <c r="E12" s="163" t="s">
        <v>189</v>
      </c>
      <c r="F12" s="166"/>
      <c r="G12" s="166">
        <v>-516.04</v>
      </c>
      <c r="H12" s="166">
        <v>164.66</v>
      </c>
    </row>
    <row r="13" spans="1:8" x14ac:dyDescent="0.3">
      <c r="A13" s="163"/>
      <c r="B13" s="163"/>
      <c r="C13" s="163"/>
      <c r="D13" s="163"/>
      <c r="E13" s="163" t="s">
        <v>190</v>
      </c>
      <c r="F13" s="166"/>
      <c r="G13" s="166">
        <v>4410.33</v>
      </c>
      <c r="H13" s="166">
        <v>943.81</v>
      </c>
    </row>
    <row r="14" spans="1:8" x14ac:dyDescent="0.3">
      <c r="A14" s="163"/>
      <c r="B14" s="163"/>
      <c r="C14" s="163"/>
      <c r="D14" s="163"/>
      <c r="E14" s="163" t="s">
        <v>159</v>
      </c>
      <c r="F14" s="166">
        <v>-3551.97</v>
      </c>
      <c r="G14" s="166">
        <v>12.46</v>
      </c>
      <c r="H14" s="166">
        <v>48.59</v>
      </c>
    </row>
    <row r="15" spans="1:8" x14ac:dyDescent="0.3">
      <c r="A15" s="163"/>
      <c r="B15" s="163"/>
      <c r="C15" s="163"/>
      <c r="D15" s="163"/>
      <c r="E15" s="163" t="s">
        <v>165</v>
      </c>
      <c r="F15" s="166"/>
      <c r="G15" s="166">
        <v>0</v>
      </c>
      <c r="H15" s="166">
        <v>-13781.64</v>
      </c>
    </row>
    <row r="16" spans="1:8" x14ac:dyDescent="0.3">
      <c r="A16" s="163"/>
      <c r="B16" s="163"/>
      <c r="C16" s="163"/>
      <c r="D16" s="163"/>
      <c r="E16" s="163" t="s">
        <v>144</v>
      </c>
      <c r="F16" s="166"/>
      <c r="G16" s="166">
        <v>0</v>
      </c>
      <c r="H16" s="166">
        <v>-182.67</v>
      </c>
    </row>
    <row r="17" spans="1:8" x14ac:dyDescent="0.3">
      <c r="A17" s="163"/>
      <c r="B17" s="163"/>
      <c r="C17" s="163"/>
      <c r="D17" s="163"/>
      <c r="E17" s="163" t="s">
        <v>133</v>
      </c>
      <c r="F17" s="166">
        <v>0</v>
      </c>
      <c r="G17" s="166">
        <v>0</v>
      </c>
      <c r="H17" s="166">
        <v>0</v>
      </c>
    </row>
    <row r="18" spans="1:8" x14ac:dyDescent="0.3">
      <c r="A18" s="163"/>
      <c r="B18" s="163"/>
      <c r="C18" s="163"/>
      <c r="D18" s="163"/>
      <c r="E18" s="163" t="s">
        <v>100</v>
      </c>
      <c r="F18" s="166"/>
      <c r="G18" s="166">
        <v>0</v>
      </c>
      <c r="H18" s="166">
        <v>0</v>
      </c>
    </row>
    <row r="19" spans="1:8" x14ac:dyDescent="0.3">
      <c r="A19" s="163"/>
      <c r="B19" s="163"/>
      <c r="C19" s="163"/>
      <c r="D19" s="163"/>
      <c r="E19" s="163" t="s">
        <v>147</v>
      </c>
      <c r="F19" s="166"/>
      <c r="G19" s="166">
        <v>0</v>
      </c>
      <c r="H19" s="166">
        <v>0</v>
      </c>
    </row>
    <row r="20" spans="1:8" x14ac:dyDescent="0.3">
      <c r="A20" s="163"/>
      <c r="B20" s="163"/>
      <c r="C20" s="163"/>
      <c r="D20" s="163"/>
      <c r="E20" s="163" t="s">
        <v>131</v>
      </c>
      <c r="F20" s="166">
        <v>3726</v>
      </c>
      <c r="G20" s="166">
        <v>0</v>
      </c>
      <c r="H20" s="166">
        <v>0</v>
      </c>
    </row>
    <row r="21" spans="1:8" x14ac:dyDescent="0.3">
      <c r="A21" s="163"/>
      <c r="B21" s="163"/>
      <c r="C21" s="163"/>
      <c r="D21" s="163"/>
      <c r="E21" s="163" t="s">
        <v>126</v>
      </c>
      <c r="F21" s="166">
        <v>53.51</v>
      </c>
      <c r="G21" s="166">
        <v>-4.04</v>
      </c>
      <c r="H21" s="166">
        <v>-58.75</v>
      </c>
    </row>
    <row r="22" spans="1:8" x14ac:dyDescent="0.3">
      <c r="A22" s="163"/>
      <c r="B22" s="163"/>
      <c r="C22" s="163"/>
      <c r="D22" s="163"/>
      <c r="E22" s="163" t="s">
        <v>101</v>
      </c>
      <c r="F22" s="166">
        <v>599.05999999999995</v>
      </c>
      <c r="G22" s="166">
        <v>-922.47</v>
      </c>
      <c r="H22" s="166">
        <v>-1135.08</v>
      </c>
    </row>
    <row r="23" spans="1:8" x14ac:dyDescent="0.3">
      <c r="A23" s="163"/>
      <c r="B23" s="163"/>
      <c r="C23" s="163"/>
      <c r="D23" s="163"/>
      <c r="E23" s="163" t="s">
        <v>127</v>
      </c>
      <c r="F23" s="166">
        <v>-145.91</v>
      </c>
      <c r="G23" s="166">
        <v>4.6100000000000003</v>
      </c>
      <c r="H23" s="166">
        <v>-40.630000000000003</v>
      </c>
    </row>
    <row r="24" spans="1:8" x14ac:dyDescent="0.3">
      <c r="A24" s="163"/>
      <c r="B24" s="163"/>
      <c r="C24" s="163"/>
      <c r="D24" s="163"/>
      <c r="E24" s="163" t="s">
        <v>151</v>
      </c>
      <c r="F24" s="166">
        <v>0</v>
      </c>
      <c r="G24" s="166">
        <v>-138.1</v>
      </c>
      <c r="H24" s="166">
        <v>-786.07</v>
      </c>
    </row>
    <row r="25" spans="1:8" x14ac:dyDescent="0.3">
      <c r="A25" s="163"/>
      <c r="B25" s="163"/>
      <c r="C25" s="163"/>
      <c r="D25" s="163"/>
      <c r="E25" s="163" t="s">
        <v>134</v>
      </c>
      <c r="F25" s="166">
        <v>0</v>
      </c>
      <c r="G25" s="166">
        <v>0</v>
      </c>
      <c r="H25" s="166">
        <v>0</v>
      </c>
    </row>
    <row r="26" spans="1:8" x14ac:dyDescent="0.3">
      <c r="A26" s="163"/>
      <c r="B26" s="163"/>
      <c r="C26" s="163"/>
      <c r="D26" s="163"/>
      <c r="E26" s="163" t="s">
        <v>102</v>
      </c>
      <c r="F26" s="166">
        <v>0</v>
      </c>
      <c r="G26" s="166">
        <v>0</v>
      </c>
      <c r="H26" s="166">
        <v>0</v>
      </c>
    </row>
    <row r="27" spans="1:8" x14ac:dyDescent="0.3">
      <c r="A27" s="163"/>
      <c r="B27" s="163"/>
      <c r="C27" s="163"/>
      <c r="D27" s="163"/>
      <c r="E27" s="163" t="s">
        <v>103</v>
      </c>
      <c r="F27" s="166">
        <v>-364.37</v>
      </c>
      <c r="G27" s="166">
        <v>0</v>
      </c>
      <c r="H27" s="166">
        <v>0</v>
      </c>
    </row>
    <row r="28" spans="1:8" x14ac:dyDescent="0.3">
      <c r="A28" s="163"/>
      <c r="B28" s="163"/>
      <c r="C28" s="163"/>
      <c r="D28" s="163"/>
      <c r="E28" s="163" t="s">
        <v>160</v>
      </c>
      <c r="F28" s="166"/>
      <c r="G28" s="166">
        <v>0</v>
      </c>
      <c r="H28" s="166">
        <v>0</v>
      </c>
    </row>
    <row r="29" spans="1:8" x14ac:dyDescent="0.3">
      <c r="A29" s="163"/>
      <c r="B29" s="163"/>
      <c r="C29" s="163"/>
      <c r="D29" s="163"/>
      <c r="E29" s="163" t="s">
        <v>148</v>
      </c>
      <c r="F29" s="166"/>
      <c r="G29" s="166">
        <v>0</v>
      </c>
      <c r="H29" s="166">
        <v>0</v>
      </c>
    </row>
    <row r="30" spans="1:8" x14ac:dyDescent="0.3">
      <c r="A30" s="163"/>
      <c r="B30" s="163"/>
      <c r="C30" s="163"/>
      <c r="D30" s="163"/>
      <c r="E30" s="163" t="s">
        <v>87</v>
      </c>
      <c r="F30" s="166">
        <v>1997.07</v>
      </c>
      <c r="G30" s="166">
        <v>-318.38</v>
      </c>
      <c r="H30" s="166">
        <v>-680.59</v>
      </c>
    </row>
    <row r="31" spans="1:8" x14ac:dyDescent="0.3">
      <c r="A31" s="163"/>
      <c r="B31" s="163"/>
      <c r="C31" s="163"/>
      <c r="D31" s="163"/>
      <c r="E31" s="163" t="s">
        <v>85</v>
      </c>
      <c r="F31" s="166">
        <v>275</v>
      </c>
      <c r="G31" s="166">
        <v>0</v>
      </c>
      <c r="H31" s="166">
        <v>-290.91000000000003</v>
      </c>
    </row>
    <row r="32" spans="1:8" ht="15" thickBot="1" x14ac:dyDescent="0.35">
      <c r="A32" s="163"/>
      <c r="B32" s="163"/>
      <c r="C32" s="163"/>
      <c r="D32" s="163"/>
      <c r="E32" s="163" t="s">
        <v>135</v>
      </c>
      <c r="F32" s="166">
        <v>-8685.0400000000009</v>
      </c>
      <c r="G32" s="166">
        <v>0</v>
      </c>
      <c r="H32" s="166">
        <v>-27091.13</v>
      </c>
    </row>
    <row r="33" spans="1:8" ht="15" thickBot="1" x14ac:dyDescent="0.35">
      <c r="A33" s="163"/>
      <c r="B33" s="163"/>
      <c r="C33" s="163" t="s">
        <v>104</v>
      </c>
      <c r="D33" s="163"/>
      <c r="E33" s="163"/>
      <c r="F33" s="189">
        <f>F5+SUM(F8:F32)</f>
        <v>23573.02</v>
      </c>
      <c r="G33" s="189">
        <f>G5+SUM(G8:G32)</f>
        <v>-12491.549999999988</v>
      </c>
      <c r="H33" s="189">
        <f>H5+SUM(H8:H32)</f>
        <v>5691.1999999999825</v>
      </c>
    </row>
    <row r="34" spans="1:8" x14ac:dyDescent="0.3">
      <c r="A34" s="163"/>
      <c r="B34" s="163"/>
      <c r="C34" s="163"/>
      <c r="D34" s="163"/>
      <c r="E34" s="163"/>
      <c r="F34" s="169"/>
      <c r="G34" s="169"/>
      <c r="H34" s="169"/>
    </row>
    <row r="35" spans="1:8" x14ac:dyDescent="0.3">
      <c r="A35" s="163"/>
      <c r="B35" s="163"/>
      <c r="C35" s="163" t="s">
        <v>105</v>
      </c>
      <c r="D35" s="163"/>
      <c r="E35" s="163"/>
      <c r="F35" s="169"/>
      <c r="G35" s="169"/>
      <c r="H35" s="169"/>
    </row>
    <row r="36" spans="1:8" x14ac:dyDescent="0.3">
      <c r="A36" s="163"/>
      <c r="B36" s="163"/>
      <c r="C36" s="163"/>
      <c r="D36" s="163"/>
      <c r="E36" t="s">
        <v>170</v>
      </c>
      <c r="F36" s="227"/>
      <c r="G36" s="227"/>
      <c r="H36" s="226">
        <v>0</v>
      </c>
    </row>
    <row r="37" spans="1:8" x14ac:dyDescent="0.3">
      <c r="A37" s="163"/>
      <c r="B37" s="163"/>
      <c r="C37" s="163"/>
      <c r="D37" s="163"/>
      <c r="E37" s="167" t="s">
        <v>171</v>
      </c>
      <c r="F37" s="169"/>
      <c r="G37" s="169"/>
      <c r="H37" s="169">
        <v>0</v>
      </c>
    </row>
    <row r="38" spans="1:8" x14ac:dyDescent="0.3">
      <c r="A38" s="163"/>
      <c r="B38" s="163"/>
      <c r="C38" s="163"/>
      <c r="D38" s="163"/>
      <c r="E38" s="167" t="s">
        <v>168</v>
      </c>
      <c r="F38" s="169"/>
      <c r="G38" s="169"/>
      <c r="H38" s="169">
        <v>0</v>
      </c>
    </row>
    <row r="39" spans="1:8" x14ac:dyDescent="0.3">
      <c r="A39" s="163"/>
      <c r="B39" s="163"/>
      <c r="C39" s="163"/>
      <c r="D39" s="163"/>
      <c r="E39" s="167" t="s">
        <v>172</v>
      </c>
      <c r="F39" s="169"/>
      <c r="G39" s="169"/>
      <c r="H39" s="169">
        <v>0</v>
      </c>
    </row>
    <row r="40" spans="1:8" ht="15" thickBot="1" x14ac:dyDescent="0.35">
      <c r="A40" s="163"/>
      <c r="B40" s="163"/>
      <c r="C40" s="163"/>
      <c r="D40" s="163"/>
      <c r="E40" s="167" t="s">
        <v>167</v>
      </c>
      <c r="F40" s="169"/>
      <c r="G40" s="169">
        <v>1332.28</v>
      </c>
      <c r="H40" s="169">
        <v>4064.02</v>
      </c>
    </row>
    <row r="41" spans="1:8" ht="27.6" thickBot="1" x14ac:dyDescent="0.35">
      <c r="A41" s="163"/>
      <c r="B41" s="163"/>
      <c r="C41" s="221" t="s">
        <v>162</v>
      </c>
      <c r="D41" s="163"/>
      <c r="E41" s="221" t="s">
        <v>31</v>
      </c>
      <c r="F41" s="189">
        <v>875.04</v>
      </c>
      <c r="G41" s="189">
        <f>SUM(G36:G40)</f>
        <v>1332.28</v>
      </c>
      <c r="H41" s="189">
        <f>SUM(H36:H40)</f>
        <v>4064.02</v>
      </c>
    </row>
    <row r="42" spans="1:8" x14ac:dyDescent="0.3">
      <c r="A42" s="163"/>
      <c r="B42" s="163"/>
      <c r="C42" s="220"/>
      <c r="D42" s="163"/>
      <c r="E42" s="163"/>
      <c r="F42" s="169"/>
      <c r="G42" s="169"/>
      <c r="H42" s="169"/>
    </row>
    <row r="43" spans="1:8" x14ac:dyDescent="0.3">
      <c r="A43" s="163"/>
      <c r="B43" s="163"/>
      <c r="C43" s="220"/>
      <c r="D43" s="163"/>
      <c r="E43" s="163"/>
      <c r="F43" s="169"/>
      <c r="G43" s="169"/>
      <c r="H43" s="169"/>
    </row>
    <row r="44" spans="1:8" x14ac:dyDescent="0.3">
      <c r="A44" s="163"/>
      <c r="B44" s="163"/>
      <c r="C44" s="163" t="s">
        <v>163</v>
      </c>
      <c r="D44" s="163"/>
      <c r="E44" s="163"/>
      <c r="F44" s="169"/>
      <c r="G44" s="169"/>
      <c r="H44" s="169"/>
    </row>
    <row r="45" spans="1:8" ht="15" thickBot="1" x14ac:dyDescent="0.35">
      <c r="A45" s="163"/>
      <c r="B45" s="163"/>
      <c r="C45" s="163"/>
      <c r="D45" s="163"/>
      <c r="E45" s="163" t="s">
        <v>164</v>
      </c>
      <c r="F45" s="169"/>
      <c r="G45" s="169">
        <v>-666.21</v>
      </c>
      <c r="H45" s="169">
        <v>-2006.82</v>
      </c>
    </row>
    <row r="46" spans="1:8" ht="27.6" thickBot="1" x14ac:dyDescent="0.35">
      <c r="A46" s="163"/>
      <c r="B46" s="163"/>
      <c r="C46" s="221" t="s">
        <v>161</v>
      </c>
      <c r="D46" s="163"/>
      <c r="E46" s="221" t="s">
        <v>31</v>
      </c>
      <c r="F46" s="189">
        <v>875.04</v>
      </c>
      <c r="G46" s="189">
        <f>SUM(G45)</f>
        <v>-666.21</v>
      </c>
      <c r="H46" s="189">
        <f>SUM(H45)</f>
        <v>-2006.82</v>
      </c>
    </row>
    <row r="47" spans="1:8" x14ac:dyDescent="0.3">
      <c r="A47" s="163"/>
      <c r="B47" s="163"/>
      <c r="C47" s="220"/>
      <c r="D47" s="163"/>
      <c r="E47" s="163"/>
      <c r="F47" s="169"/>
      <c r="G47" s="169"/>
      <c r="H47" s="169"/>
    </row>
    <row r="48" spans="1:8" x14ac:dyDescent="0.3">
      <c r="A48" s="163"/>
      <c r="B48" s="163" t="s">
        <v>106</v>
      </c>
      <c r="C48" s="163"/>
      <c r="D48" s="163"/>
      <c r="E48" s="163"/>
      <c r="F48" s="166">
        <f>SUM(F33:F41)</f>
        <v>24448.06</v>
      </c>
      <c r="G48" s="166">
        <f>+G33+G41+G46</f>
        <v>-11825.479999999989</v>
      </c>
      <c r="H48" s="166">
        <f>+H33+H41+H46</f>
        <v>7748.3999999999833</v>
      </c>
    </row>
    <row r="49" spans="1:8" ht="15" thickBot="1" x14ac:dyDescent="0.35">
      <c r="A49" s="163"/>
      <c r="B49" s="163" t="s">
        <v>107</v>
      </c>
      <c r="C49" s="163"/>
      <c r="D49" s="163"/>
      <c r="E49" s="163"/>
      <c r="F49" s="188">
        <v>404856.48</v>
      </c>
      <c r="G49" s="188">
        <v>400246.37</v>
      </c>
      <c r="H49" s="188">
        <v>380672.49</v>
      </c>
    </row>
    <row r="50" spans="1:8" ht="15" thickBot="1" x14ac:dyDescent="0.35">
      <c r="A50" s="163" t="s">
        <v>108</v>
      </c>
      <c r="B50" s="163"/>
      <c r="C50" s="163"/>
      <c r="D50" s="163"/>
      <c r="E50" s="163"/>
      <c r="F50" s="190">
        <f>SUM(F48:F49)</f>
        <v>429304.54</v>
      </c>
      <c r="G50" s="190">
        <f>SUM(G48:G49)</f>
        <v>388420.89</v>
      </c>
      <c r="H50" s="190">
        <f>SUM(H48:H49)</f>
        <v>388420.88999999996</v>
      </c>
    </row>
    <row r="51" spans="1:8" ht="15" thickTop="1" x14ac:dyDescent="0.3"/>
  </sheetData>
  <pageMargins left="0.7" right="0.7" top="0.75" bottom="0.75" header="0.3" footer="0.3"/>
  <pageSetup scale="66" orientation="landscape" r:id="rId1"/>
  <headerFooter>
    <oddHeader>&amp;CThe Community Partnership
Cash Flow Statement
for four months ending October 31, 2018</oddHeader>
    <oddFooter>&amp;RPage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opLeftCell="A17" workbookViewId="0">
      <selection activeCell="Q26" sqref="Q26"/>
    </sheetView>
  </sheetViews>
  <sheetFormatPr defaultRowHeight="14.4" x14ac:dyDescent="0.3"/>
  <cols>
    <col min="1" max="1" width="37.109375" customWidth="1"/>
    <col min="2" max="2" width="15.109375" customWidth="1"/>
    <col min="3" max="3" width="15.109375" hidden="1" customWidth="1"/>
    <col min="4" max="4" width="10.5546875" hidden="1" customWidth="1"/>
    <col min="5" max="5" width="17.6640625" hidden="1" customWidth="1"/>
    <col min="6" max="6" width="15.109375" bestFit="1" customWidth="1"/>
    <col min="7" max="7" width="15.109375" hidden="1" customWidth="1"/>
    <col min="8" max="8" width="15.109375" customWidth="1"/>
    <col min="9" max="9" width="10.88671875" hidden="1" customWidth="1"/>
    <col min="10" max="10" width="15.109375" customWidth="1"/>
    <col min="11" max="11" width="15.109375" hidden="1" customWidth="1"/>
    <col min="12" max="12" width="14.88671875" customWidth="1"/>
    <col min="13" max="13" width="15.21875" hidden="1" customWidth="1"/>
    <col min="14" max="14" width="14.88671875" customWidth="1"/>
    <col min="15" max="15" width="14" bestFit="1" customWidth="1"/>
    <col min="16" max="17" width="10.109375" bestFit="1" customWidth="1"/>
  </cols>
  <sheetData>
    <row r="1" spans="1:14" ht="24.9" hidden="1" customHeight="1" x14ac:dyDescent="0.3">
      <c r="A1" s="162" t="s">
        <v>109</v>
      </c>
      <c r="B1" s="191">
        <v>248542.81</v>
      </c>
      <c r="C1" s="192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4.9" hidden="1" customHeight="1" x14ac:dyDescent="0.3">
      <c r="A2" s="162" t="s">
        <v>110</v>
      </c>
      <c r="B2" s="191">
        <v>75938.5</v>
      </c>
      <c r="C2" s="192"/>
      <c r="F2" s="191"/>
      <c r="G2" s="191"/>
      <c r="H2" s="191"/>
      <c r="I2" s="191"/>
      <c r="J2" s="191"/>
      <c r="K2" s="191"/>
      <c r="L2" s="191"/>
      <c r="M2" s="191"/>
      <c r="N2" s="191"/>
    </row>
    <row r="3" spans="1:14" ht="24.9" customHeight="1" x14ac:dyDescent="0.3">
      <c r="A3" s="162" t="s">
        <v>111</v>
      </c>
      <c r="B3" s="191">
        <v>341134.24</v>
      </c>
      <c r="C3" s="192"/>
      <c r="F3" s="191"/>
      <c r="G3" s="191"/>
      <c r="H3" s="191"/>
      <c r="I3" s="191"/>
      <c r="J3" s="191"/>
      <c r="K3" s="191"/>
      <c r="L3" s="191"/>
      <c r="M3" s="191"/>
      <c r="N3" s="191"/>
    </row>
    <row r="4" spans="1:14" ht="24.9" customHeight="1" x14ac:dyDescent="0.3">
      <c r="A4" s="162" t="s">
        <v>112</v>
      </c>
      <c r="B4" s="191">
        <v>-5386.25</v>
      </c>
      <c r="C4" s="192"/>
      <c r="F4" s="191"/>
      <c r="G4" s="191"/>
      <c r="H4" s="191"/>
      <c r="I4" s="191"/>
      <c r="J4" s="191"/>
      <c r="K4" s="191"/>
      <c r="L4" s="191"/>
      <c r="M4" s="191"/>
      <c r="N4" s="191"/>
    </row>
    <row r="5" spans="1:14" ht="24.9" customHeight="1" x14ac:dyDescent="0.3">
      <c r="A5" s="162" t="s">
        <v>113</v>
      </c>
      <c r="B5" s="191">
        <f>B3+B4</f>
        <v>335747.99</v>
      </c>
      <c r="C5" s="192"/>
      <c r="F5" s="191"/>
      <c r="G5" s="191"/>
      <c r="H5" s="191"/>
      <c r="I5" s="191"/>
      <c r="J5" s="191"/>
      <c r="K5" s="191"/>
      <c r="L5" s="191"/>
      <c r="M5" s="191"/>
      <c r="N5" s="191"/>
    </row>
    <row r="6" spans="1:14" ht="24.9" customHeight="1" x14ac:dyDescent="0.3">
      <c r="A6" s="162" t="s">
        <v>114</v>
      </c>
      <c r="B6" s="191">
        <v>6859.22</v>
      </c>
      <c r="C6" s="192"/>
      <c r="F6" s="207"/>
      <c r="G6" s="207"/>
      <c r="H6" s="207"/>
      <c r="I6" s="207"/>
      <c r="J6" s="207"/>
      <c r="K6" s="207"/>
      <c r="L6" s="207"/>
      <c r="M6" s="207"/>
      <c r="N6" s="207"/>
    </row>
    <row r="7" spans="1:14" ht="24.9" customHeight="1" x14ac:dyDescent="0.3">
      <c r="A7" s="162" t="s">
        <v>115</v>
      </c>
      <c r="B7" s="191">
        <v>342607.21</v>
      </c>
      <c r="C7" s="192"/>
      <c r="F7" s="207"/>
      <c r="G7" s="207"/>
      <c r="H7" s="207"/>
      <c r="I7" s="207"/>
      <c r="J7" s="207"/>
      <c r="K7" s="207"/>
      <c r="L7" s="207"/>
      <c r="M7" s="207"/>
      <c r="N7" s="207"/>
    </row>
    <row r="8" spans="1:14" ht="24.9" customHeight="1" x14ac:dyDescent="0.3">
      <c r="A8" s="162" t="s">
        <v>139</v>
      </c>
      <c r="B8" s="191">
        <v>98435.5</v>
      </c>
      <c r="C8" s="192"/>
      <c r="F8" s="207"/>
      <c r="G8" s="207"/>
      <c r="H8" s="207"/>
      <c r="I8" s="207"/>
      <c r="J8" s="207"/>
      <c r="K8" s="207"/>
      <c r="L8" s="207"/>
      <c r="M8" s="207"/>
      <c r="N8" s="207"/>
    </row>
    <row r="9" spans="1:14" ht="24.9" customHeight="1" x14ac:dyDescent="0.3">
      <c r="A9" s="162" t="s">
        <v>140</v>
      </c>
      <c r="B9" s="191">
        <f>SUM(B7:B8)</f>
        <v>441042.71</v>
      </c>
      <c r="C9" s="192"/>
      <c r="F9" s="207"/>
      <c r="G9" s="207"/>
      <c r="H9" s="207"/>
      <c r="I9" s="207"/>
      <c r="J9" s="207"/>
      <c r="K9" s="207"/>
      <c r="L9" s="207"/>
      <c r="M9" s="207"/>
      <c r="N9" s="207"/>
    </row>
    <row r="10" spans="1:14" ht="24.9" customHeight="1" x14ac:dyDescent="0.3">
      <c r="A10" s="162" t="s">
        <v>173</v>
      </c>
      <c r="B10" s="191">
        <v>-8833.6</v>
      </c>
      <c r="C10" s="192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1:14" ht="24.9" customHeight="1" x14ac:dyDescent="0.3">
      <c r="A11" s="162" t="s">
        <v>174</v>
      </c>
      <c r="B11" s="191">
        <f>SUM(B9:B10)</f>
        <v>432209.11000000004</v>
      </c>
      <c r="C11" s="192"/>
      <c r="F11" s="207"/>
      <c r="G11" s="207"/>
      <c r="H11" s="207"/>
      <c r="I11" s="207"/>
      <c r="J11" s="207"/>
      <c r="K11" s="207"/>
      <c r="L11" s="207"/>
      <c r="M11" s="207"/>
      <c r="N11" s="207"/>
    </row>
    <row r="12" spans="1:14" ht="24.9" customHeight="1" x14ac:dyDescent="0.3">
      <c r="A12" s="162" t="s">
        <v>180</v>
      </c>
      <c r="B12" s="191">
        <v>10658.44</v>
      </c>
      <c r="C12" s="192"/>
      <c r="F12" s="207"/>
      <c r="G12" s="207"/>
      <c r="H12" s="207"/>
      <c r="I12" s="207"/>
      <c r="J12" s="207"/>
      <c r="K12" s="207"/>
      <c r="L12" s="207"/>
      <c r="M12" s="207"/>
      <c r="N12" s="207"/>
    </row>
    <row r="13" spans="1:14" ht="24.9" customHeight="1" x14ac:dyDescent="0.3">
      <c r="A13" s="162" t="s">
        <v>181</v>
      </c>
      <c r="B13" s="191">
        <f>SUM(B11:B12)</f>
        <v>442867.55000000005</v>
      </c>
      <c r="C13" s="192"/>
      <c r="F13" s="207"/>
      <c r="G13" s="207"/>
      <c r="H13" s="207"/>
      <c r="I13" s="207"/>
      <c r="J13" s="207"/>
      <c r="K13" s="207"/>
      <c r="L13" s="207"/>
      <c r="M13" s="207"/>
      <c r="N13" s="207"/>
    </row>
    <row r="14" spans="1:14" ht="24.9" customHeight="1" x14ac:dyDescent="0.3">
      <c r="A14" s="162" t="s">
        <v>197</v>
      </c>
      <c r="B14" s="191">
        <v>-14523.31</v>
      </c>
      <c r="C14" s="192"/>
      <c r="F14" s="207"/>
      <c r="G14" s="207"/>
      <c r="H14" s="207"/>
      <c r="I14" s="207"/>
      <c r="J14" s="207"/>
      <c r="K14" s="207"/>
      <c r="L14" s="207"/>
      <c r="M14" s="207"/>
      <c r="N14" s="207"/>
    </row>
    <row r="15" spans="1:14" ht="24.9" customHeight="1" thickBot="1" x14ac:dyDescent="0.35">
      <c r="A15" s="162" t="s">
        <v>198</v>
      </c>
      <c r="B15" s="200">
        <f>SUM(B13:B14)</f>
        <v>428344.24000000005</v>
      </c>
    </row>
    <row r="16" spans="1:14" ht="15.6" thickTop="1" thickBot="1" x14ac:dyDescent="0.35">
      <c r="B16" s="193"/>
    </row>
    <row r="17" spans="1:17" ht="15" thickBot="1" x14ac:dyDescent="0.35">
      <c r="A17" s="274" t="s">
        <v>116</v>
      </c>
      <c r="B17" s="275"/>
      <c r="C17" s="275"/>
      <c r="D17" s="275"/>
      <c r="E17" s="275"/>
      <c r="F17" s="275"/>
      <c r="G17" s="214"/>
      <c r="H17" s="214"/>
      <c r="I17" s="228"/>
      <c r="J17" s="228"/>
      <c r="K17" s="237"/>
      <c r="L17" s="237"/>
      <c r="M17" s="241"/>
      <c r="N17" s="241"/>
      <c r="O17" s="208"/>
    </row>
    <row r="18" spans="1:17" ht="20.100000000000001" customHeight="1" x14ac:dyDescent="0.3">
      <c r="B18" s="194" t="s">
        <v>24</v>
      </c>
      <c r="C18" s="194" t="s">
        <v>117</v>
      </c>
      <c r="E18" s="194" t="s">
        <v>118</v>
      </c>
      <c r="F18" s="195" t="s">
        <v>70</v>
      </c>
      <c r="G18" s="195" t="s">
        <v>142</v>
      </c>
      <c r="H18" s="195" t="s">
        <v>141</v>
      </c>
      <c r="I18" s="195" t="s">
        <v>175</v>
      </c>
      <c r="J18" s="195" t="s">
        <v>176</v>
      </c>
      <c r="K18" s="195" t="s">
        <v>182</v>
      </c>
      <c r="L18" s="195" t="s">
        <v>183</v>
      </c>
      <c r="M18" s="195" t="s">
        <v>195</v>
      </c>
      <c r="N18" s="195" t="s">
        <v>196</v>
      </c>
      <c r="O18" s="195" t="s">
        <v>130</v>
      </c>
    </row>
    <row r="19" spans="1:17" ht="20.100000000000001" customHeight="1" x14ac:dyDescent="0.3">
      <c r="A19" t="s">
        <v>119</v>
      </c>
      <c r="B19" s="196">
        <v>269840.02</v>
      </c>
      <c r="C19" s="196">
        <v>272566.32</v>
      </c>
      <c r="D19" s="197">
        <v>9697.7800000000007</v>
      </c>
      <c r="E19" s="192">
        <v>-4242.8100000000004</v>
      </c>
      <c r="F19" s="197">
        <f>+B19+E19</f>
        <v>265597.21000000002</v>
      </c>
      <c r="G19" s="197">
        <f>34785.95+918.19</f>
        <v>35704.14</v>
      </c>
      <c r="H19" s="197">
        <v>308169.21999999997</v>
      </c>
      <c r="I19" s="197">
        <v>-5564.7</v>
      </c>
      <c r="J19" s="197">
        <v>301270.84999999998</v>
      </c>
      <c r="K19" s="197">
        <f>3759.3+4652.52</f>
        <v>8411.82</v>
      </c>
      <c r="L19" s="197">
        <f>SUM(J19:K19)</f>
        <v>309682.67</v>
      </c>
      <c r="M19" s="197">
        <v>-6942.18</v>
      </c>
      <c r="N19" s="197">
        <f>SUM(L19:M19)</f>
        <v>302740.49</v>
      </c>
      <c r="O19" s="209" t="s">
        <v>128</v>
      </c>
      <c r="P19" s="197"/>
    </row>
    <row r="20" spans="1:17" ht="20.100000000000001" customHeight="1" x14ac:dyDescent="0.3">
      <c r="A20" t="s">
        <v>149</v>
      </c>
      <c r="B20" s="196">
        <v>0</v>
      </c>
      <c r="C20" s="196"/>
      <c r="D20" s="197"/>
      <c r="E20" s="192"/>
      <c r="F20" s="197">
        <v>0</v>
      </c>
      <c r="G20" s="197"/>
      <c r="H20" s="197">
        <v>54682.2</v>
      </c>
      <c r="I20" s="197">
        <v>0</v>
      </c>
      <c r="J20" s="197">
        <v>55194.52</v>
      </c>
      <c r="K20" s="197">
        <v>-4652.5200000000004</v>
      </c>
      <c r="L20" s="197">
        <f>SUM(J20:K20)</f>
        <v>50542</v>
      </c>
      <c r="M20" s="197">
        <v>-8443.7800000000007</v>
      </c>
      <c r="N20" s="197">
        <v>42098.22</v>
      </c>
      <c r="O20" s="209" t="s">
        <v>128</v>
      </c>
      <c r="P20" s="197"/>
    </row>
    <row r="21" spans="1:17" ht="20.100000000000001" customHeight="1" x14ac:dyDescent="0.3">
      <c r="A21" t="s">
        <v>69</v>
      </c>
      <c r="B21" s="196">
        <v>1119.6600000000001</v>
      </c>
      <c r="C21" s="196">
        <v>1119.6600000000001</v>
      </c>
      <c r="D21" s="197">
        <v>253</v>
      </c>
      <c r="E21" s="192">
        <v>0</v>
      </c>
      <c r="F21" s="197">
        <f t="shared" ref="F21:F29" si="0">+B21+E21</f>
        <v>1119.6600000000001</v>
      </c>
      <c r="G21" s="197">
        <v>831.11</v>
      </c>
      <c r="H21" s="197">
        <f t="shared" ref="H21:H28" si="1">SUM(F21:G21)</f>
        <v>1950.77</v>
      </c>
      <c r="I21" s="197">
        <v>-60.67</v>
      </c>
      <c r="J21" s="197">
        <v>1890.1</v>
      </c>
      <c r="K21" s="197">
        <v>-1672</v>
      </c>
      <c r="L21" s="197">
        <f t="shared" ref="L21:L28" si="2">SUM(J21:K21)</f>
        <v>218.09999999999991</v>
      </c>
      <c r="M21" s="197">
        <v>773</v>
      </c>
      <c r="N21" s="197">
        <f t="shared" ref="N21:N28" si="3">SUM(L21:M21)</f>
        <v>991.09999999999991</v>
      </c>
      <c r="O21" s="209" t="s">
        <v>129</v>
      </c>
      <c r="P21" s="197"/>
    </row>
    <row r="22" spans="1:17" ht="20.100000000000001" customHeight="1" x14ac:dyDescent="0.3">
      <c r="A22" s="162" t="s">
        <v>120</v>
      </c>
      <c r="B22" s="196">
        <v>0</v>
      </c>
      <c r="C22" s="196"/>
      <c r="D22" s="197"/>
      <c r="E22" s="192">
        <v>834.98</v>
      </c>
      <c r="F22" s="197">
        <f t="shared" si="0"/>
        <v>834.98</v>
      </c>
      <c r="G22" s="197">
        <v>610.97</v>
      </c>
      <c r="H22" s="197">
        <f t="shared" si="1"/>
        <v>1445.95</v>
      </c>
      <c r="I22" s="197">
        <v>-6.25</v>
      </c>
      <c r="J22" s="197">
        <v>1439.7</v>
      </c>
      <c r="K22" s="197">
        <v>-199.92</v>
      </c>
      <c r="L22" s="197">
        <f t="shared" si="2"/>
        <v>1239.78</v>
      </c>
      <c r="M22" s="197">
        <v>-413.46</v>
      </c>
      <c r="N22" s="197">
        <f t="shared" si="3"/>
        <v>826.31999999999994</v>
      </c>
      <c r="O22" s="209" t="s">
        <v>129</v>
      </c>
      <c r="P22" s="197"/>
    </row>
    <row r="23" spans="1:17" ht="20.100000000000001" customHeight="1" x14ac:dyDescent="0.3">
      <c r="A23" t="s">
        <v>121</v>
      </c>
      <c r="B23" s="196">
        <v>7607.86</v>
      </c>
      <c r="C23" s="196">
        <v>7039.56</v>
      </c>
      <c r="D23" s="197">
        <v>315.3</v>
      </c>
      <c r="E23" s="192">
        <v>1210.08</v>
      </c>
      <c r="F23" s="197">
        <f t="shared" si="0"/>
        <v>8817.9399999999987</v>
      </c>
      <c r="G23" s="197">
        <v>0</v>
      </c>
      <c r="H23" s="197">
        <f t="shared" si="1"/>
        <v>8817.9399999999987</v>
      </c>
      <c r="I23" s="197">
        <v>-203.49</v>
      </c>
      <c r="J23" s="197">
        <v>8614.4500000000007</v>
      </c>
      <c r="K23" s="197">
        <v>-234.78</v>
      </c>
      <c r="L23" s="197">
        <f t="shared" si="2"/>
        <v>8379.67</v>
      </c>
      <c r="M23" s="197">
        <v>-318.76</v>
      </c>
      <c r="N23" s="197">
        <f t="shared" si="3"/>
        <v>8060.91</v>
      </c>
      <c r="O23" s="209" t="s">
        <v>129</v>
      </c>
      <c r="P23" s="197"/>
    </row>
    <row r="24" spans="1:17" ht="20.100000000000001" customHeight="1" x14ac:dyDescent="0.3">
      <c r="A24" t="s">
        <v>122</v>
      </c>
      <c r="B24" s="196">
        <f t="shared" ref="B24" si="4">C24+D24</f>
        <v>4005.3</v>
      </c>
      <c r="C24" s="196">
        <v>3302.83</v>
      </c>
      <c r="D24" s="197">
        <v>702.47</v>
      </c>
      <c r="E24" s="192">
        <v>1469.24</v>
      </c>
      <c r="F24" s="197">
        <f t="shared" si="0"/>
        <v>5474.54</v>
      </c>
      <c r="G24" s="197">
        <v>0</v>
      </c>
      <c r="H24" s="197">
        <f t="shared" si="1"/>
        <v>5474.54</v>
      </c>
      <c r="I24" s="197">
        <v>1246.97</v>
      </c>
      <c r="J24" s="197">
        <v>6721.51</v>
      </c>
      <c r="K24" s="197"/>
      <c r="L24" s="197">
        <f t="shared" si="2"/>
        <v>6721.51</v>
      </c>
      <c r="M24" s="197">
        <v>-571.08000000000004</v>
      </c>
      <c r="N24" s="197">
        <f t="shared" si="3"/>
        <v>6150.43</v>
      </c>
      <c r="O24" s="209" t="s">
        <v>129</v>
      </c>
      <c r="P24" s="197"/>
    </row>
    <row r="25" spans="1:17" ht="20.100000000000001" customHeight="1" x14ac:dyDescent="0.3">
      <c r="A25" t="s">
        <v>71</v>
      </c>
      <c r="B25" s="196">
        <v>5535.83</v>
      </c>
      <c r="C25" s="196">
        <v>12984.75</v>
      </c>
      <c r="D25" s="197">
        <v>-1207.04</v>
      </c>
      <c r="E25" s="192">
        <v>14218.21</v>
      </c>
      <c r="F25" s="197">
        <f t="shared" si="0"/>
        <v>19754.04</v>
      </c>
      <c r="G25" s="197">
        <v>2583.65</v>
      </c>
      <c r="H25" s="197">
        <f t="shared" si="1"/>
        <v>22337.690000000002</v>
      </c>
      <c r="I25" s="197">
        <v>3144.46</v>
      </c>
      <c r="J25" s="197">
        <v>25482.15</v>
      </c>
      <c r="K25" s="197">
        <v>4492.29</v>
      </c>
      <c r="L25" s="197">
        <f t="shared" si="2"/>
        <v>29974.440000000002</v>
      </c>
      <c r="M25" s="197">
        <v>226.49</v>
      </c>
      <c r="N25" s="197">
        <f t="shared" si="3"/>
        <v>30200.930000000004</v>
      </c>
      <c r="O25" s="209" t="s">
        <v>129</v>
      </c>
      <c r="P25" s="197"/>
    </row>
    <row r="26" spans="1:17" ht="20.100000000000001" customHeight="1" x14ac:dyDescent="0.3">
      <c r="A26" t="s">
        <v>72</v>
      </c>
      <c r="B26" s="196">
        <v>26368.15</v>
      </c>
      <c r="C26" s="196">
        <v>25292.41</v>
      </c>
      <c r="D26" s="197">
        <v>1075.74</v>
      </c>
      <c r="E26" s="192">
        <v>-202.22</v>
      </c>
      <c r="F26" s="197">
        <f t="shared" si="0"/>
        <v>26165.93</v>
      </c>
      <c r="G26" s="197">
        <v>-695.23</v>
      </c>
      <c r="H26" s="197">
        <f t="shared" si="1"/>
        <v>25470.7</v>
      </c>
      <c r="I26" s="197">
        <v>-2498.17</v>
      </c>
      <c r="J26" s="197">
        <v>22972.53</v>
      </c>
      <c r="K26" s="197">
        <v>1985.02</v>
      </c>
      <c r="L26" s="197">
        <f t="shared" si="2"/>
        <v>24957.55</v>
      </c>
      <c r="M26" s="197">
        <v>-153</v>
      </c>
      <c r="N26" s="197">
        <f t="shared" si="3"/>
        <v>24804.55</v>
      </c>
      <c r="O26" s="209" t="s">
        <v>129</v>
      </c>
      <c r="P26" s="197"/>
    </row>
    <row r="27" spans="1:17" ht="20.100000000000001" customHeight="1" x14ac:dyDescent="0.3">
      <c r="A27" t="s">
        <v>202</v>
      </c>
      <c r="B27" s="196">
        <v>0</v>
      </c>
      <c r="C27" s="196"/>
      <c r="D27" s="197"/>
      <c r="E27" s="192"/>
      <c r="F27" s="197">
        <v>0</v>
      </c>
      <c r="G27" s="197"/>
      <c r="H27" s="197">
        <v>0</v>
      </c>
      <c r="I27" s="197"/>
      <c r="J27" s="197">
        <v>0</v>
      </c>
      <c r="K27" s="197"/>
      <c r="L27" s="197">
        <v>0</v>
      </c>
      <c r="M27" s="197">
        <v>178.7</v>
      </c>
      <c r="N27" s="197">
        <f>SUM(L27:M27)</f>
        <v>178.7</v>
      </c>
      <c r="O27" s="209" t="s">
        <v>129</v>
      </c>
      <c r="P27" s="197"/>
    </row>
    <row r="28" spans="1:17" ht="20.100000000000001" customHeight="1" x14ac:dyDescent="0.3">
      <c r="A28" t="s">
        <v>199</v>
      </c>
      <c r="B28" s="196">
        <v>21271.17</v>
      </c>
      <c r="C28" s="196">
        <v>18828.71</v>
      </c>
      <c r="D28" s="197">
        <v>-3799.42</v>
      </c>
      <c r="E28" s="192">
        <v>-6428.26</v>
      </c>
      <c r="F28" s="197">
        <f t="shared" si="0"/>
        <v>14842.909999999998</v>
      </c>
      <c r="G28" s="197">
        <v>-2149.21</v>
      </c>
      <c r="H28" s="197">
        <f t="shared" si="1"/>
        <v>12693.699999999997</v>
      </c>
      <c r="I28" s="197">
        <v>-4070.4</v>
      </c>
      <c r="J28" s="197">
        <v>8623.2999999999993</v>
      </c>
      <c r="K28" s="197">
        <v>2528.5300000000002</v>
      </c>
      <c r="L28" s="197">
        <f t="shared" si="2"/>
        <v>11151.83</v>
      </c>
      <c r="M28" s="244">
        <v>1140.76</v>
      </c>
      <c r="N28" s="197">
        <f t="shared" si="3"/>
        <v>12292.59</v>
      </c>
      <c r="O28" s="209" t="s">
        <v>129</v>
      </c>
      <c r="P28" s="197"/>
    </row>
    <row r="29" spans="1:17" ht="20.100000000000001" customHeight="1" thickBot="1" x14ac:dyDescent="0.35">
      <c r="A29" s="198"/>
      <c r="B29" s="199">
        <f>SUM(B19:B28)</f>
        <v>335747.99</v>
      </c>
      <c r="C29" s="199">
        <f>SUM(C19:C28)</f>
        <v>341134.24</v>
      </c>
      <c r="D29" s="200">
        <f>SUM(D19:D28)</f>
        <v>7037.8299999999981</v>
      </c>
      <c r="E29" s="199">
        <f>SUM(E19:E28)</f>
        <v>6859.2199999999993</v>
      </c>
      <c r="F29" s="201">
        <f t="shared" si="0"/>
        <v>342607.20999999996</v>
      </c>
      <c r="G29" s="215">
        <f>SUM(G19:G28)</f>
        <v>36885.43</v>
      </c>
      <c r="H29" s="201">
        <f>SUM(H19:H28)</f>
        <v>441042.71</v>
      </c>
      <c r="I29" s="201">
        <f>SUM(I19:I28)</f>
        <v>-8012.25</v>
      </c>
      <c r="J29" s="235">
        <v>432209.11</v>
      </c>
      <c r="K29" s="235">
        <f>SUM(K19:K28)</f>
        <v>10658.44</v>
      </c>
      <c r="L29" s="235">
        <f>SUM(J29:K29)</f>
        <v>442867.55</v>
      </c>
      <c r="M29" s="243">
        <f>SUM(M19:M28)</f>
        <v>-14523.31</v>
      </c>
      <c r="N29" s="235">
        <f>SUM(N19:N28)</f>
        <v>428344.23999999993</v>
      </c>
      <c r="O29" s="197" t="s">
        <v>31</v>
      </c>
      <c r="P29" s="197"/>
      <c r="Q29" s="197" t="s">
        <v>31</v>
      </c>
    </row>
    <row r="30" spans="1:17" ht="15" thickTop="1" x14ac:dyDescent="0.3"/>
    <row r="31" spans="1:17" x14ac:dyDescent="0.3">
      <c r="L31" s="197">
        <f>SUM(L21:L28)</f>
        <v>82642.880000000005</v>
      </c>
      <c r="M31" s="197"/>
      <c r="N31" s="197">
        <f>SUM(N21:N28)</f>
        <v>83505.53</v>
      </c>
      <c r="O31" s="209" t="s">
        <v>213</v>
      </c>
    </row>
  </sheetData>
  <mergeCells count="1">
    <mergeCell ref="A17:F17"/>
  </mergeCells>
  <pageMargins left="0.7" right="0.7" top="0.75" bottom="0.75" header="0.3" footer="0.3"/>
  <pageSetup scale="75" orientation="landscape" r:id="rId1"/>
  <headerFooter>
    <oddHeader>&amp;CThe Community Partnership
Restricted and Unrestricted Fund Balance for FY 2019</oddHeader>
    <oddFooter>&amp;RPage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Dashboard</vt:lpstr>
      <vt:lpstr>Total</vt:lpstr>
      <vt:lpstr>Programs</vt:lpstr>
      <vt:lpstr>Admin &amp; Resale</vt:lpstr>
      <vt:lpstr>Balance Sheet</vt:lpstr>
      <vt:lpstr>Cash Flow</vt:lpstr>
      <vt:lpstr>Fund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Cresswell</dc:creator>
  <cp:lastModifiedBy>Gwen Cresswell</cp:lastModifiedBy>
  <cp:lastPrinted>2018-11-14T16:27:08Z</cp:lastPrinted>
  <dcterms:created xsi:type="dcterms:W3CDTF">2014-08-18T18:27:38Z</dcterms:created>
  <dcterms:modified xsi:type="dcterms:W3CDTF">2018-11-14T16:27:11Z</dcterms:modified>
</cp:coreProperties>
</file>